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b45b509ba1c3eaf/Documents/A-WUK Standards Board/WIS and IGN/IGN 4-01-03 Revision/WIS 4-01-03 Issue 1 Amendments/Draft for public consulrtation/"/>
    </mc:Choice>
  </mc:AlternateContent>
  <xr:revisionPtr revIDLastSave="0" documentId="8_{B19DFFBF-7933-476D-95B4-7A375C71F176}" xr6:coauthVersionLast="47" xr6:coauthVersionMax="47" xr10:uidLastSave="{00000000-0000-0000-0000-000000000000}"/>
  <workbookProtection workbookAlgorithmName="SHA-512" workbookHashValue="9mnAH1P+KaXZjmsVFkSQY/X036vuNwTQoIG86hwuUn2bDrPclyRocblOvhp3U6iVL8WwvVlgUeUTCCpFooEAYA==" workbookSaltValue="YC74saLmY/OSKyIzZX1U0A==" workbookSpinCount="100000" lockStructure="1"/>
  <bookViews>
    <workbookView xWindow="30" yWindow="368" windowWidth="21570" windowHeight="12765" xr2:uid="{BC832EAA-0D8B-4880-8B37-E3206E9AF477}"/>
  </bookViews>
  <sheets>
    <sheet name="PressurisationAuto" sheetId="14" r:id="rId1"/>
    <sheet name="WallThickness" sheetId="7" state="hidden" r:id="rId2"/>
    <sheet name="XX Minute,Modulus_Temp" sheetId="20" state="hidden" r:id="rId3"/>
    <sheet name="DCLPE100 ModPerMinute" sheetId="17" state="hidden" r:id="rId4"/>
    <sheet name="DCLPE80 ModPerMinute" sheetId="18" state="hidden" r:id="rId5"/>
    <sheet name="DCL Material Equations" sheetId="15" state="hidden" r:id="rId6"/>
    <sheet name="SeveralNotes" sheetId="16" state="hidden" r:id="rId7"/>
    <sheet name="Compare_Diff_StartP_same_DP" sheetId="9" state="hidden" r:id="rId8"/>
    <sheet name="WallThickness12201-2" sheetId="8" state="hidden" r:id="rId9"/>
    <sheet name="PE 80-100 MInMaxSDRWall" sheetId="6" state="hidden" r:id="rId10"/>
  </sheets>
  <externalReferences>
    <externalReference r:id="rId11"/>
  </externalReferences>
  <definedNames>
    <definedName name="diam" localSheetId="9">'PE 80-100 MInMaxSDRWall'!$B$29</definedName>
    <definedName name="diam" localSheetId="0">PressurisationAuto!#REF!</definedName>
    <definedName name="diam">#REF!</definedName>
    <definedName name="endP" localSheetId="7">Compare_Diff_StartP_same_DP!$B$9</definedName>
    <definedName name="endP" localSheetId="9">'PE 80-100 MInMaxSDRWall'!$B$7</definedName>
    <definedName name="endP" localSheetId="0">PressurisationAuto!$C$14</definedName>
    <definedName name="endP">#REF!</definedName>
    <definedName name="length" localSheetId="7">Compare_Diff_StartP_same_DP!$B$6</definedName>
    <definedName name="length" localSheetId="9">'PE 80-100 MInMaxSDRWall'!$B$4</definedName>
    <definedName name="length" localSheetId="0">PressurisationAuto!$C$11</definedName>
    <definedName name="length">#REF!</definedName>
    <definedName name="mod" localSheetId="7">Compare_Diff_StartP_same_DP!$B$4</definedName>
    <definedName name="mod" localSheetId="9">'PE 80-100 MInMaxSDRWall'!$B$13</definedName>
    <definedName name="mod" localSheetId="0">PressurisationAuto!$C$6</definedName>
    <definedName name="mod">#REF!</definedName>
    <definedName name="SDR" localSheetId="7">Compare_Diff_StartP_same_DP!$B$2</definedName>
    <definedName name="SDR" localSheetId="9">'PE 80-100 MInMaxSDRWall'!$B$2</definedName>
    <definedName name="SDR" localSheetId="0">PressurisationAuto!$C$10</definedName>
    <definedName name="SDR">#REF!</definedName>
    <definedName name="startP" localSheetId="7">Compare_Diff_StartP_same_DP!$B$8</definedName>
    <definedName name="startP" localSheetId="9">'PE 80-100 MInMaxSDRWall'!$B$6</definedName>
    <definedName name="startP" localSheetId="0">PressurisationAuto!$C$13</definedName>
    <definedName name="startP">#REF!</definedName>
    <definedName name="Wall_SDR" localSheetId="0">PressurisationAuto!#REF!</definedName>
    <definedName name="Wall_SDR">'PE 80-100 MInMaxSDRWall'!$B$10</definedName>
    <definedName name="WallT_max" localSheetId="5">'[1]PE 80-100 MInMaxSDRWall'!$B$12</definedName>
    <definedName name="WallT_max" localSheetId="0">PressurisationAuto!#REF!</definedName>
    <definedName name="WallT_max">'PE 80-100 MInMaxSDRWall'!$B$12</definedName>
    <definedName name="WallT_min" localSheetId="5">'[1]PE 80-100 MInMaxSDRWall'!$B$11</definedName>
    <definedName name="WallT_min" localSheetId="0">PressurisationAuto!$C$12</definedName>
    <definedName name="WallT_min">'PE 80-100 MInMaxSDRWall'!$B$11</definedName>
    <definedName name="WallT_table" localSheetId="0">PressurisationAuto!$C$12</definedName>
    <definedName name="WallT_table">'PE 80-100 MInMaxSDRWall'!$B$11</definedName>
    <definedName name="WallTSDR" localSheetId="5">'[1]PE 80-100 MInMaxSDRWall'!$B$10</definedName>
    <definedName name="WallTSDR" localSheetId="0">PressurisationAuto!#REF!</definedName>
    <definedName name="WallTSDR">'PE 80-100 MInMaxSDRWall'!$B$10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8" l="1"/>
  <c r="E36" i="18"/>
  <c r="E35" i="18"/>
  <c r="E34" i="18"/>
  <c r="E33" i="18"/>
  <c r="E32" i="18"/>
  <c r="E31" i="18"/>
  <c r="E30" i="18"/>
  <c r="E29" i="18"/>
  <c r="E28" i="18"/>
  <c r="E27" i="18"/>
  <c r="E26" i="18"/>
  <c r="E25" i="18"/>
  <c r="E24" i="18"/>
  <c r="E23" i="18"/>
  <c r="E22" i="18"/>
  <c r="E21" i="18"/>
  <c r="E20" i="18"/>
  <c r="E19" i="18"/>
  <c r="E18" i="18"/>
  <c r="E17" i="18"/>
  <c r="E16" i="18"/>
  <c r="E15" i="18"/>
  <c r="E14" i="18"/>
  <c r="E13" i="18"/>
  <c r="E12" i="18"/>
  <c r="E11" i="18"/>
  <c r="E10" i="18"/>
  <c r="E9" i="18"/>
  <c r="E8" i="18"/>
  <c r="E7" i="18"/>
  <c r="E6" i="18"/>
  <c r="E5" i="18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5" i="17"/>
  <c r="I20" i="18"/>
  <c r="J20" i="18"/>
  <c r="K20" i="18"/>
  <c r="I21" i="18"/>
  <c r="J21" i="18"/>
  <c r="K21" i="18"/>
  <c r="I22" i="18"/>
  <c r="J22" i="18"/>
  <c r="K22" i="18"/>
  <c r="I23" i="18"/>
  <c r="J23" i="18"/>
  <c r="K23" i="18"/>
  <c r="I24" i="18"/>
  <c r="J24" i="18"/>
  <c r="K24" i="18"/>
  <c r="I25" i="18"/>
  <c r="J25" i="18"/>
  <c r="K25" i="18"/>
  <c r="I26" i="18"/>
  <c r="J26" i="18"/>
  <c r="K26" i="18"/>
  <c r="I27" i="18"/>
  <c r="J27" i="18"/>
  <c r="K27" i="18"/>
  <c r="I28" i="18"/>
  <c r="J28" i="18"/>
  <c r="K28" i="18"/>
  <c r="I29" i="18"/>
  <c r="J29" i="18"/>
  <c r="K29" i="18"/>
  <c r="I30" i="18"/>
  <c r="J30" i="18"/>
  <c r="K30" i="18"/>
  <c r="I31" i="18"/>
  <c r="J31" i="18"/>
  <c r="K31" i="18"/>
  <c r="I32" i="18"/>
  <c r="J32" i="18"/>
  <c r="K32" i="18"/>
  <c r="I33" i="18"/>
  <c r="J33" i="18"/>
  <c r="K33" i="18"/>
  <c r="I34" i="18"/>
  <c r="J34" i="18"/>
  <c r="K34" i="18"/>
  <c r="I35" i="18"/>
  <c r="J35" i="18"/>
  <c r="K35" i="18"/>
  <c r="I36" i="18"/>
  <c r="J36" i="18"/>
  <c r="K36" i="18"/>
  <c r="I37" i="18"/>
  <c r="J37" i="18"/>
  <c r="K37" i="18"/>
  <c r="I33" i="17"/>
  <c r="J33" i="17"/>
  <c r="K33" i="17"/>
  <c r="I32" i="17"/>
  <c r="J32" i="17"/>
  <c r="K32" i="17"/>
  <c r="I31" i="17"/>
  <c r="J31" i="17"/>
  <c r="K31" i="17"/>
  <c r="I30" i="17"/>
  <c r="J30" i="17"/>
  <c r="K30" i="17"/>
  <c r="I28" i="17"/>
  <c r="J28" i="17"/>
  <c r="K28" i="17"/>
  <c r="I27" i="17"/>
  <c r="J27" i="17"/>
  <c r="K27" i="17"/>
  <c r="I26" i="17"/>
  <c r="J26" i="17"/>
  <c r="K26" i="17"/>
  <c r="I25" i="17"/>
  <c r="J25" i="17"/>
  <c r="K25" i="17"/>
  <c r="I23" i="17"/>
  <c r="J23" i="17"/>
  <c r="K23" i="17"/>
  <c r="I22" i="17"/>
  <c r="J22" i="17"/>
  <c r="K22" i="17"/>
  <c r="I21" i="17"/>
  <c r="J21" i="17"/>
  <c r="K21" i="17"/>
  <c r="I20" i="17"/>
  <c r="J20" i="17"/>
  <c r="K20" i="17"/>
  <c r="B33" i="20"/>
  <c r="C33" i="20" s="1"/>
  <c r="F33" i="20" s="1"/>
  <c r="B32" i="20"/>
  <c r="C32" i="20" s="1"/>
  <c r="F32" i="20" s="1"/>
  <c r="B29" i="20"/>
  <c r="C29" i="20" s="1"/>
  <c r="F29" i="20" s="1"/>
  <c r="B28" i="20"/>
  <c r="C28" i="20" s="1"/>
  <c r="F28" i="20" s="1"/>
  <c r="B27" i="20"/>
  <c r="C27" i="20" s="1"/>
  <c r="F27" i="20" s="1"/>
  <c r="E23" i="20"/>
  <c r="E22" i="20"/>
  <c r="E21" i="20"/>
  <c r="E19" i="20"/>
  <c r="E18" i="20"/>
  <c r="E17" i="20"/>
  <c r="E14" i="20"/>
  <c r="E13" i="20"/>
  <c r="E12" i="20"/>
  <c r="E10" i="20"/>
  <c r="E9" i="20"/>
  <c r="E8" i="20"/>
  <c r="E5" i="20"/>
  <c r="E4" i="20"/>
  <c r="E3" i="20"/>
  <c r="E2" i="16" l="1"/>
  <c r="D47" i="17"/>
  <c r="C7" i="18"/>
  <c r="K7" i="18" s="1"/>
  <c r="C42" i="18"/>
  <c r="B42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K19" i="18"/>
  <c r="J19" i="18"/>
  <c r="I19" i="18"/>
  <c r="B19" i="18"/>
  <c r="K18" i="18"/>
  <c r="J18" i="18"/>
  <c r="I18" i="18"/>
  <c r="B18" i="18"/>
  <c r="K17" i="18"/>
  <c r="J17" i="18"/>
  <c r="I17" i="18"/>
  <c r="B17" i="18"/>
  <c r="K16" i="18"/>
  <c r="J16" i="18"/>
  <c r="I16" i="18"/>
  <c r="B16" i="18"/>
  <c r="K15" i="18"/>
  <c r="J15" i="18"/>
  <c r="I15" i="18"/>
  <c r="B15" i="18"/>
  <c r="K14" i="18"/>
  <c r="J14" i="18"/>
  <c r="I14" i="18"/>
  <c r="B14" i="18"/>
  <c r="K13" i="18"/>
  <c r="J13" i="18"/>
  <c r="I13" i="18"/>
  <c r="B13" i="18"/>
  <c r="K12" i="18"/>
  <c r="J12" i="18"/>
  <c r="I12" i="18"/>
  <c r="B12" i="18"/>
  <c r="K11" i="18"/>
  <c r="J11" i="18"/>
  <c r="I11" i="18"/>
  <c r="B11" i="18"/>
  <c r="K10" i="18"/>
  <c r="J10" i="18"/>
  <c r="I10" i="18"/>
  <c r="B10" i="18"/>
  <c r="K9" i="18"/>
  <c r="J9" i="18"/>
  <c r="I9" i="18"/>
  <c r="B9" i="18"/>
  <c r="K8" i="18"/>
  <c r="J8" i="18"/>
  <c r="I8" i="18"/>
  <c r="B8" i="18"/>
  <c r="B7" i="18"/>
  <c r="K6" i="18"/>
  <c r="J6" i="18"/>
  <c r="I6" i="18"/>
  <c r="B6" i="18"/>
  <c r="K5" i="18"/>
  <c r="J5" i="18"/>
  <c r="I5" i="18"/>
  <c r="B5" i="18"/>
  <c r="C42" i="17"/>
  <c r="B42" i="17"/>
  <c r="K37" i="17"/>
  <c r="J37" i="17"/>
  <c r="I37" i="17"/>
  <c r="E37" i="17"/>
  <c r="B37" i="17"/>
  <c r="K36" i="17"/>
  <c r="J36" i="17"/>
  <c r="I36" i="17"/>
  <c r="E36" i="17"/>
  <c r="B36" i="17"/>
  <c r="K35" i="17"/>
  <c r="J35" i="17"/>
  <c r="I35" i="17"/>
  <c r="E35" i="17"/>
  <c r="B35" i="17"/>
  <c r="K34" i="17"/>
  <c r="J34" i="17"/>
  <c r="I34" i="17"/>
  <c r="B34" i="17"/>
  <c r="B33" i="17"/>
  <c r="B32" i="17"/>
  <c r="B31" i="17"/>
  <c r="B30" i="17"/>
  <c r="K29" i="17"/>
  <c r="J29" i="17"/>
  <c r="I29" i="17"/>
  <c r="B29" i="17"/>
  <c r="B28" i="17"/>
  <c r="B27" i="17"/>
  <c r="B26" i="17"/>
  <c r="B25" i="17"/>
  <c r="K24" i="17"/>
  <c r="J24" i="17"/>
  <c r="I24" i="17"/>
  <c r="B24" i="17"/>
  <c r="B23" i="17"/>
  <c r="B22" i="17"/>
  <c r="B21" i="17"/>
  <c r="B20" i="17"/>
  <c r="K19" i="17"/>
  <c r="J19" i="17"/>
  <c r="I19" i="17"/>
  <c r="B19" i="17"/>
  <c r="K18" i="17"/>
  <c r="J18" i="17"/>
  <c r="I18" i="17"/>
  <c r="B18" i="17"/>
  <c r="K17" i="17"/>
  <c r="J17" i="17"/>
  <c r="I17" i="17"/>
  <c r="B17" i="17"/>
  <c r="K16" i="17"/>
  <c r="J16" i="17"/>
  <c r="I16" i="17"/>
  <c r="B16" i="17"/>
  <c r="K15" i="17"/>
  <c r="J15" i="17"/>
  <c r="I15" i="17"/>
  <c r="B15" i="17"/>
  <c r="K14" i="17"/>
  <c r="J14" i="17"/>
  <c r="I14" i="17"/>
  <c r="B14" i="17"/>
  <c r="K13" i="17"/>
  <c r="J13" i="17"/>
  <c r="I13" i="17"/>
  <c r="B13" i="17"/>
  <c r="K12" i="17"/>
  <c r="J12" i="17"/>
  <c r="I12" i="17"/>
  <c r="B12" i="17"/>
  <c r="K11" i="17"/>
  <c r="J11" i="17"/>
  <c r="I11" i="17"/>
  <c r="B11" i="17"/>
  <c r="K10" i="17"/>
  <c r="J10" i="17"/>
  <c r="I10" i="17"/>
  <c r="B10" i="17"/>
  <c r="K9" i="17"/>
  <c r="J9" i="17"/>
  <c r="I9" i="17"/>
  <c r="B9" i="17"/>
  <c r="K8" i="17"/>
  <c r="J8" i="17"/>
  <c r="I8" i="17"/>
  <c r="B8" i="17"/>
  <c r="K7" i="17"/>
  <c r="J7" i="17"/>
  <c r="I7" i="17"/>
  <c r="B7" i="17"/>
  <c r="K6" i="17"/>
  <c r="J6" i="17"/>
  <c r="I6" i="17"/>
  <c r="B6" i="17"/>
  <c r="K5" i="17"/>
  <c r="J5" i="17"/>
  <c r="I5" i="17"/>
  <c r="B5" i="17"/>
  <c r="G4" i="16"/>
  <c r="G3" i="16"/>
  <c r="G2" i="16"/>
  <c r="E4" i="16"/>
  <c r="E3" i="16"/>
  <c r="D4" i="16"/>
  <c r="D3" i="16"/>
  <c r="D2" i="16"/>
  <c r="B3" i="15"/>
  <c r="C15" i="14"/>
  <c r="F9" i="14" s="1"/>
  <c r="B9" i="15"/>
  <c r="B8" i="15"/>
  <c r="B7" i="15"/>
  <c r="B4" i="15"/>
  <c r="B2" i="15"/>
  <c r="F3" i="14"/>
  <c r="C12" i="14"/>
  <c r="C17" i="14"/>
  <c r="C16" i="14"/>
  <c r="A15" i="14"/>
  <c r="K35" i="9"/>
  <c r="L35" i="9"/>
  <c r="M35" i="9"/>
  <c r="N35" i="9"/>
  <c r="J35" i="9"/>
  <c r="D35" i="9"/>
  <c r="E35" i="9"/>
  <c r="F35" i="9"/>
  <c r="G35" i="9"/>
  <c r="C35" i="9"/>
  <c r="D42" i="18" l="1"/>
  <c r="I7" i="18"/>
  <c r="J7" i="18"/>
  <c r="D42" i="17"/>
  <c r="H2" i="14"/>
  <c r="R6" i="7"/>
  <c r="S6" i="7"/>
  <c r="T6" i="7"/>
  <c r="AF6" i="7" s="1"/>
  <c r="R7" i="7"/>
  <c r="S7" i="7"/>
  <c r="T7" i="7"/>
  <c r="U7" i="7"/>
  <c r="R8" i="7"/>
  <c r="S8" i="7"/>
  <c r="T8" i="7"/>
  <c r="U8" i="7"/>
  <c r="V8" i="7"/>
  <c r="R9" i="7"/>
  <c r="S9" i="7"/>
  <c r="T9" i="7"/>
  <c r="U9" i="7"/>
  <c r="V9" i="7"/>
  <c r="W9" i="7"/>
  <c r="R10" i="7"/>
  <c r="S10" i="7"/>
  <c r="T10" i="7"/>
  <c r="U10" i="7"/>
  <c r="V10" i="7"/>
  <c r="W10" i="7"/>
  <c r="X10" i="7"/>
  <c r="R11" i="7"/>
  <c r="S11" i="7"/>
  <c r="T11" i="7"/>
  <c r="U11" i="7"/>
  <c r="V11" i="7"/>
  <c r="W11" i="7"/>
  <c r="X11" i="7"/>
  <c r="Y11" i="7"/>
  <c r="R12" i="7"/>
  <c r="S12" i="7"/>
  <c r="T12" i="7"/>
  <c r="U12" i="7"/>
  <c r="V12" i="7"/>
  <c r="W12" i="7"/>
  <c r="X12" i="7"/>
  <c r="Y12" i="7"/>
  <c r="R13" i="7"/>
  <c r="S13" i="7"/>
  <c r="T13" i="7"/>
  <c r="U13" i="7"/>
  <c r="V13" i="7"/>
  <c r="W13" i="7"/>
  <c r="X13" i="7"/>
  <c r="AD7" i="7"/>
  <c r="AD8" i="7"/>
  <c r="AF8" i="7"/>
  <c r="AH8" i="7"/>
  <c r="AE9" i="7"/>
  <c r="AG9" i="7"/>
  <c r="AF10" i="7"/>
  <c r="AG10" i="7"/>
  <c r="AJ10" i="7"/>
  <c r="AD11" i="7"/>
  <c r="AE11" i="7"/>
  <c r="AF11" i="7"/>
  <c r="AE12" i="7"/>
  <c r="AF12" i="7"/>
  <c r="AG12" i="7"/>
  <c r="AH12" i="7"/>
  <c r="AI12" i="7"/>
  <c r="AJ12" i="7"/>
  <c r="AD13" i="7"/>
  <c r="AJ13" i="7"/>
  <c r="AK13" i="7"/>
  <c r="AD14" i="7"/>
  <c r="AE14" i="7"/>
  <c r="AF14" i="7"/>
  <c r="AH15" i="7"/>
  <c r="AI15" i="7"/>
  <c r="AJ15" i="7"/>
  <c r="AD17" i="7"/>
  <c r="AF17" i="7"/>
  <c r="AH17" i="7"/>
  <c r="AJ17" i="7"/>
  <c r="AD19" i="7"/>
  <c r="AF19" i="7"/>
  <c r="AH19" i="7"/>
  <c r="AJ19" i="7"/>
  <c r="AK19" i="7"/>
  <c r="AD20" i="7"/>
  <c r="AF20" i="7"/>
  <c r="AI20" i="7"/>
  <c r="AJ20" i="7"/>
  <c r="AD21" i="7"/>
  <c r="AF21" i="7"/>
  <c r="AH21" i="7"/>
  <c r="AJ21" i="7"/>
  <c r="AG22" i="7"/>
  <c r="AH22" i="7"/>
  <c r="AD23" i="7"/>
  <c r="AE23" i="7"/>
  <c r="AF23" i="7"/>
  <c r="AE24" i="7"/>
  <c r="AF24" i="7"/>
  <c r="AG24" i="7"/>
  <c r="AH24" i="7"/>
  <c r="AI24" i="7"/>
  <c r="AJ24" i="7"/>
  <c r="AD25" i="7"/>
  <c r="AJ25" i="7"/>
  <c r="AK25" i="7"/>
  <c r="AL25" i="7"/>
  <c r="AE26" i="7"/>
  <c r="AG26" i="7"/>
  <c r="AI26" i="7"/>
  <c r="AL26" i="7"/>
  <c r="AM26" i="7"/>
  <c r="AF27" i="7"/>
  <c r="AH27" i="7"/>
  <c r="AJ27" i="7"/>
  <c r="AL27" i="7"/>
  <c r="AF28" i="7"/>
  <c r="AH28" i="7"/>
  <c r="AJ28" i="7"/>
  <c r="AH29" i="7"/>
  <c r="AJ29" i="7"/>
  <c r="AL29" i="7"/>
  <c r="AF30" i="7"/>
  <c r="AH30" i="7"/>
  <c r="AH31" i="7"/>
  <c r="AI31" i="7"/>
  <c r="AJ31" i="7"/>
  <c r="AF32" i="7"/>
  <c r="AH32" i="7"/>
  <c r="AL32" i="7"/>
  <c r="AM32" i="7"/>
  <c r="AG33" i="7"/>
  <c r="AI33" i="7"/>
  <c r="AK33" i="7"/>
  <c r="AM33" i="7"/>
  <c r="AH34" i="7"/>
  <c r="AJ34" i="7"/>
  <c r="AL34" i="7"/>
  <c r="AL35" i="7"/>
  <c r="AH36" i="7"/>
  <c r="AI36" i="7"/>
  <c r="AJ36" i="7"/>
  <c r="AK36" i="7"/>
  <c r="AL36" i="7"/>
  <c r="AH37" i="7"/>
  <c r="AJ37" i="7"/>
  <c r="AL37" i="7"/>
  <c r="AK38" i="7"/>
  <c r="AL38" i="7"/>
  <c r="AM38" i="7"/>
  <c r="AJ39" i="7"/>
  <c r="AL39" i="7"/>
  <c r="AJ40" i="7"/>
  <c r="AJ41" i="7"/>
  <c r="AK41" i="7"/>
  <c r="AL41" i="7"/>
  <c r="AA24" i="7"/>
  <c r="AM24" i="7" s="1"/>
  <c r="AA25" i="7"/>
  <c r="AM25" i="7" s="1"/>
  <c r="AA26" i="7"/>
  <c r="AA27" i="7"/>
  <c r="AM27" i="7" s="1"/>
  <c r="AA28" i="7"/>
  <c r="AM28" i="7" s="1"/>
  <c r="AA29" i="7"/>
  <c r="AM29" i="7" s="1"/>
  <c r="AA30" i="7"/>
  <c r="AM30" i="7" s="1"/>
  <c r="AA31" i="7"/>
  <c r="AM31" i="7" s="1"/>
  <c r="AA32" i="7"/>
  <c r="AA33" i="7"/>
  <c r="AA34" i="7"/>
  <c r="AM34" i="7" s="1"/>
  <c r="AA35" i="7"/>
  <c r="AM35" i="7" s="1"/>
  <c r="AA36" i="7"/>
  <c r="AM36" i="7" s="1"/>
  <c r="AA37" i="7"/>
  <c r="AM37" i="7" s="1"/>
  <c r="AA38" i="7"/>
  <c r="AA39" i="7"/>
  <c r="AM39" i="7" s="1"/>
  <c r="AA40" i="7"/>
  <c r="AM40" i="7" s="1"/>
  <c r="AA41" i="7"/>
  <c r="AM41" i="7" s="1"/>
  <c r="Z41" i="7"/>
  <c r="Z40" i="7"/>
  <c r="AL40" i="7" s="1"/>
  <c r="Z39" i="7"/>
  <c r="Z38" i="7"/>
  <c r="Z37" i="7"/>
  <c r="Z36" i="7"/>
  <c r="Z35" i="7"/>
  <c r="Z34" i="7"/>
  <c r="Z33" i="7"/>
  <c r="AL33" i="7" s="1"/>
  <c r="Z32" i="7"/>
  <c r="Z31" i="7"/>
  <c r="AL31" i="7" s="1"/>
  <c r="Z30" i="7"/>
  <c r="AL30" i="7" s="1"/>
  <c r="Z29" i="7"/>
  <c r="Z28" i="7"/>
  <c r="AL28" i="7" s="1"/>
  <c r="Z27" i="7"/>
  <c r="Z26" i="7"/>
  <c r="Z25" i="7"/>
  <c r="Z24" i="7"/>
  <c r="AL24" i="7" s="1"/>
  <c r="AK11" i="7"/>
  <c r="AK12" i="7"/>
  <c r="Y13" i="7"/>
  <c r="Y14" i="7"/>
  <c r="AK14" i="7" s="1"/>
  <c r="Y15" i="7"/>
  <c r="AK15" i="7" s="1"/>
  <c r="Y16" i="7"/>
  <c r="AK16" i="7" s="1"/>
  <c r="Y17" i="7"/>
  <c r="AK17" i="7" s="1"/>
  <c r="Y18" i="7"/>
  <c r="AK18" i="7" s="1"/>
  <c r="Y19" i="7"/>
  <c r="Y20" i="7"/>
  <c r="AK20" i="7" s="1"/>
  <c r="Y21" i="7"/>
  <c r="AK21" i="7" s="1"/>
  <c r="Y22" i="7"/>
  <c r="AK22" i="7" s="1"/>
  <c r="Y23" i="7"/>
  <c r="AK23" i="7" s="1"/>
  <c r="Y24" i="7"/>
  <c r="AK24" i="7" s="1"/>
  <c r="AI9" i="7"/>
  <c r="AE7" i="7"/>
  <c r="AF7" i="7"/>
  <c r="AG7" i="7"/>
  <c r="AE8" i="7"/>
  <c r="AG8" i="7"/>
  <c r="AD9" i="7"/>
  <c r="AF9" i="7"/>
  <c r="AH9" i="7"/>
  <c r="AD10" i="7"/>
  <c r="AE10" i="7"/>
  <c r="AH10" i="7"/>
  <c r="AI10" i="7"/>
  <c r="AG11" i="7"/>
  <c r="AH11" i="7"/>
  <c r="AI11" i="7"/>
  <c r="AJ11" i="7"/>
  <c r="AD12" i="7"/>
  <c r="AE13" i="7"/>
  <c r="AF13" i="7"/>
  <c r="AG13" i="7"/>
  <c r="AH13" i="7"/>
  <c r="AI13" i="7"/>
  <c r="R14" i="7"/>
  <c r="S14" i="7"/>
  <c r="T14" i="7"/>
  <c r="U14" i="7"/>
  <c r="AG14" i="7" s="1"/>
  <c r="V14" i="7"/>
  <c r="AH14" i="7" s="1"/>
  <c r="W14" i="7"/>
  <c r="AI14" i="7" s="1"/>
  <c r="X14" i="7"/>
  <c r="AJ14" i="7" s="1"/>
  <c r="R15" i="7"/>
  <c r="AD15" i="7" s="1"/>
  <c r="S15" i="7"/>
  <c r="AE15" i="7" s="1"/>
  <c r="T15" i="7"/>
  <c r="AF15" i="7" s="1"/>
  <c r="U15" i="7"/>
  <c r="AG15" i="7" s="1"/>
  <c r="V15" i="7"/>
  <c r="W15" i="7"/>
  <c r="X15" i="7"/>
  <c r="R16" i="7"/>
  <c r="AD16" i="7" s="1"/>
  <c r="S16" i="7"/>
  <c r="AE16" i="7" s="1"/>
  <c r="T16" i="7"/>
  <c r="AF16" i="7" s="1"/>
  <c r="U16" i="7"/>
  <c r="AG16" i="7" s="1"/>
  <c r="V16" i="7"/>
  <c r="AH16" i="7" s="1"/>
  <c r="W16" i="7"/>
  <c r="AI16" i="7" s="1"/>
  <c r="X16" i="7"/>
  <c r="AJ16" i="7" s="1"/>
  <c r="R17" i="7"/>
  <c r="S17" i="7"/>
  <c r="AE17" i="7" s="1"/>
  <c r="T17" i="7"/>
  <c r="U17" i="7"/>
  <c r="AG17" i="7" s="1"/>
  <c r="V17" i="7"/>
  <c r="W17" i="7"/>
  <c r="AI17" i="7" s="1"/>
  <c r="X17" i="7"/>
  <c r="R18" i="7"/>
  <c r="AD18" i="7" s="1"/>
  <c r="S18" i="7"/>
  <c r="AE18" i="7" s="1"/>
  <c r="T18" i="7"/>
  <c r="AF18" i="7" s="1"/>
  <c r="U18" i="7"/>
  <c r="AG18" i="7" s="1"/>
  <c r="V18" i="7"/>
  <c r="AH18" i="7" s="1"/>
  <c r="W18" i="7"/>
  <c r="AI18" i="7" s="1"/>
  <c r="X18" i="7"/>
  <c r="AJ18" i="7" s="1"/>
  <c r="R19" i="7"/>
  <c r="S19" i="7"/>
  <c r="AE19" i="7" s="1"/>
  <c r="T19" i="7"/>
  <c r="U19" i="7"/>
  <c r="AG19" i="7" s="1"/>
  <c r="V19" i="7"/>
  <c r="W19" i="7"/>
  <c r="AI19" i="7" s="1"/>
  <c r="X19" i="7"/>
  <c r="R20" i="7"/>
  <c r="S20" i="7"/>
  <c r="AE20" i="7" s="1"/>
  <c r="T20" i="7"/>
  <c r="U20" i="7"/>
  <c r="AG20" i="7" s="1"/>
  <c r="V20" i="7"/>
  <c r="AH20" i="7" s="1"/>
  <c r="W20" i="7"/>
  <c r="X20" i="7"/>
  <c r="R21" i="7"/>
  <c r="S21" i="7"/>
  <c r="AE21" i="7" s="1"/>
  <c r="T21" i="7"/>
  <c r="U21" i="7"/>
  <c r="AG21" i="7" s="1"/>
  <c r="V21" i="7"/>
  <c r="W21" i="7"/>
  <c r="AI21" i="7" s="1"/>
  <c r="X21" i="7"/>
  <c r="R22" i="7"/>
  <c r="AD22" i="7" s="1"/>
  <c r="S22" i="7"/>
  <c r="AE22" i="7" s="1"/>
  <c r="T22" i="7"/>
  <c r="AF22" i="7" s="1"/>
  <c r="U22" i="7"/>
  <c r="V22" i="7"/>
  <c r="W22" i="7"/>
  <c r="AI22" i="7" s="1"/>
  <c r="X22" i="7"/>
  <c r="AJ22" i="7" s="1"/>
  <c r="R23" i="7"/>
  <c r="S23" i="7"/>
  <c r="T23" i="7"/>
  <c r="U23" i="7"/>
  <c r="AG23" i="7" s="1"/>
  <c r="V23" i="7"/>
  <c r="AH23" i="7" s="1"/>
  <c r="W23" i="7"/>
  <c r="AI23" i="7" s="1"/>
  <c r="X23" i="7"/>
  <c r="AJ23" i="7" s="1"/>
  <c r="R24" i="7"/>
  <c r="AD24" i="7" s="1"/>
  <c r="S24" i="7"/>
  <c r="T24" i="7"/>
  <c r="U24" i="7"/>
  <c r="V24" i="7"/>
  <c r="W24" i="7"/>
  <c r="X24" i="7"/>
  <c r="R25" i="7"/>
  <c r="S25" i="7"/>
  <c r="AE25" i="7" s="1"/>
  <c r="T25" i="7"/>
  <c r="AF25" i="7" s="1"/>
  <c r="U25" i="7"/>
  <c r="AG25" i="7" s="1"/>
  <c r="V25" i="7"/>
  <c r="AH25" i="7" s="1"/>
  <c r="W25" i="7"/>
  <c r="AI25" i="7" s="1"/>
  <c r="X25" i="7"/>
  <c r="Y25" i="7"/>
  <c r="S26" i="7"/>
  <c r="T26" i="7"/>
  <c r="AF26" i="7" s="1"/>
  <c r="U26" i="7"/>
  <c r="V26" i="7"/>
  <c r="AH26" i="7" s="1"/>
  <c r="W26" i="7"/>
  <c r="X26" i="7"/>
  <c r="AJ26" i="7" s="1"/>
  <c r="Y26" i="7"/>
  <c r="AK26" i="7" s="1"/>
  <c r="S27" i="7"/>
  <c r="AE27" i="7" s="1"/>
  <c r="T27" i="7"/>
  <c r="U27" i="7"/>
  <c r="AG27" i="7" s="1"/>
  <c r="V27" i="7"/>
  <c r="W27" i="7"/>
  <c r="AI27" i="7" s="1"/>
  <c r="X27" i="7"/>
  <c r="Y27" i="7"/>
  <c r="AK27" i="7" s="1"/>
  <c r="T28" i="7"/>
  <c r="U28" i="7"/>
  <c r="AG28" i="7" s="1"/>
  <c r="V28" i="7"/>
  <c r="W28" i="7"/>
  <c r="AI28" i="7" s="1"/>
  <c r="X28" i="7"/>
  <c r="Y28" i="7"/>
  <c r="AK28" i="7" s="1"/>
  <c r="T29" i="7"/>
  <c r="AF29" i="7" s="1"/>
  <c r="U29" i="7"/>
  <c r="AG29" i="7" s="1"/>
  <c r="V29" i="7"/>
  <c r="W29" i="7"/>
  <c r="AI29" i="7" s="1"/>
  <c r="X29" i="7"/>
  <c r="Y29" i="7"/>
  <c r="AK29" i="7" s="1"/>
  <c r="T30" i="7"/>
  <c r="U30" i="7"/>
  <c r="AG30" i="7" s="1"/>
  <c r="V30" i="7"/>
  <c r="W30" i="7"/>
  <c r="AI30" i="7" s="1"/>
  <c r="X30" i="7"/>
  <c r="AJ30" i="7" s="1"/>
  <c r="Y30" i="7"/>
  <c r="AK30" i="7" s="1"/>
  <c r="T31" i="7"/>
  <c r="AF31" i="7" s="1"/>
  <c r="U31" i="7"/>
  <c r="AG31" i="7" s="1"/>
  <c r="V31" i="7"/>
  <c r="W31" i="7"/>
  <c r="X31" i="7"/>
  <c r="Y31" i="7"/>
  <c r="AK31" i="7" s="1"/>
  <c r="T32" i="7"/>
  <c r="U32" i="7"/>
  <c r="AG32" i="7" s="1"/>
  <c r="V32" i="7"/>
  <c r="W32" i="7"/>
  <c r="AI32" i="7" s="1"/>
  <c r="X32" i="7"/>
  <c r="AJ32" i="7" s="1"/>
  <c r="Y32" i="7"/>
  <c r="AK32" i="7" s="1"/>
  <c r="U33" i="7"/>
  <c r="V33" i="7"/>
  <c r="AH33" i="7" s="1"/>
  <c r="W33" i="7"/>
  <c r="X33" i="7"/>
  <c r="AJ33" i="7" s="1"/>
  <c r="Y33" i="7"/>
  <c r="U34" i="7"/>
  <c r="AG34" i="7" s="1"/>
  <c r="V34" i="7"/>
  <c r="W34" i="7"/>
  <c r="AI34" i="7" s="1"/>
  <c r="X34" i="7"/>
  <c r="Y34" i="7"/>
  <c r="AK34" i="7" s="1"/>
  <c r="V35" i="7"/>
  <c r="AH35" i="7" s="1"/>
  <c r="W35" i="7"/>
  <c r="AI35" i="7" s="1"/>
  <c r="X35" i="7"/>
  <c r="AJ35" i="7" s="1"/>
  <c r="Y35" i="7"/>
  <c r="AK35" i="7" s="1"/>
  <c r="V36" i="7"/>
  <c r="W36" i="7"/>
  <c r="X36" i="7"/>
  <c r="Y36" i="7"/>
  <c r="V37" i="7"/>
  <c r="W37" i="7"/>
  <c r="AI37" i="7" s="1"/>
  <c r="X37" i="7"/>
  <c r="Y37" i="7"/>
  <c r="AK37" i="7" s="1"/>
  <c r="W38" i="7"/>
  <c r="AI38" i="7" s="1"/>
  <c r="X38" i="7"/>
  <c r="AJ38" i="7" s="1"/>
  <c r="Y38" i="7"/>
  <c r="W39" i="7"/>
  <c r="AI39" i="7" s="1"/>
  <c r="X39" i="7"/>
  <c r="Y39" i="7"/>
  <c r="AK39" i="7" s="1"/>
  <c r="X40" i="7"/>
  <c r="Y40" i="7"/>
  <c r="AK40" i="7" s="1"/>
  <c r="X41" i="7"/>
  <c r="Y41" i="7"/>
  <c r="AE6" i="7"/>
  <c r="AD6" i="7"/>
  <c r="A21" i="6"/>
  <c r="T33" i="9"/>
  <c r="S33" i="9"/>
  <c r="R33" i="9"/>
  <c r="Q33" i="9"/>
  <c r="P33" i="9"/>
  <c r="T32" i="9"/>
  <c r="S32" i="9"/>
  <c r="R32" i="9"/>
  <c r="Q32" i="9"/>
  <c r="P32" i="9"/>
  <c r="T31" i="9"/>
  <c r="S31" i="9"/>
  <c r="R31" i="9"/>
  <c r="Q31" i="9"/>
  <c r="P31" i="9"/>
  <c r="T30" i="9"/>
  <c r="S30" i="9"/>
  <c r="R30" i="9"/>
  <c r="Q30" i="9"/>
  <c r="P30" i="9"/>
  <c r="T29" i="9"/>
  <c r="S29" i="9"/>
  <c r="R29" i="9"/>
  <c r="Q29" i="9"/>
  <c r="P29" i="9"/>
  <c r="T28" i="9"/>
  <c r="S28" i="9"/>
  <c r="R28" i="9"/>
  <c r="Q28" i="9"/>
  <c r="P28" i="9"/>
  <c r="T27" i="9"/>
  <c r="S27" i="9"/>
  <c r="R27" i="9"/>
  <c r="Q27" i="9"/>
  <c r="P27" i="9"/>
  <c r="T26" i="9"/>
  <c r="S26" i="9"/>
  <c r="R26" i="9"/>
  <c r="Q26" i="9"/>
  <c r="P26" i="9"/>
  <c r="T25" i="9"/>
  <c r="S25" i="9"/>
  <c r="R25" i="9"/>
  <c r="Q25" i="9"/>
  <c r="P25" i="9"/>
  <c r="T24" i="9"/>
  <c r="S24" i="9"/>
  <c r="R24" i="9"/>
  <c r="Q24" i="9"/>
  <c r="P24" i="9"/>
  <c r="T23" i="9"/>
  <c r="S23" i="9"/>
  <c r="R23" i="9"/>
  <c r="Q23" i="9"/>
  <c r="P23" i="9"/>
  <c r="T22" i="9"/>
  <c r="S22" i="9"/>
  <c r="R22" i="9"/>
  <c r="Q22" i="9"/>
  <c r="P22" i="9"/>
  <c r="T21" i="9"/>
  <c r="S21" i="9"/>
  <c r="R21" i="9"/>
  <c r="Q21" i="9"/>
  <c r="P21" i="9"/>
  <c r="T20" i="9"/>
  <c r="S20" i="9"/>
  <c r="R20" i="9"/>
  <c r="Q20" i="9"/>
  <c r="P20" i="9"/>
  <c r="T19" i="9"/>
  <c r="S19" i="9"/>
  <c r="R19" i="9"/>
  <c r="Q19" i="9"/>
  <c r="P19" i="9"/>
  <c r="T18" i="9"/>
  <c r="S18" i="9"/>
  <c r="R18" i="9"/>
  <c r="Q18" i="9"/>
  <c r="P18" i="9"/>
  <c r="T17" i="9"/>
  <c r="S17" i="9"/>
  <c r="R17" i="9"/>
  <c r="Q17" i="9"/>
  <c r="P17" i="9"/>
  <c r="T16" i="9"/>
  <c r="S16" i="9"/>
  <c r="R16" i="9"/>
  <c r="Q16" i="9"/>
  <c r="P16" i="9"/>
  <c r="T15" i="9"/>
  <c r="S15" i="9"/>
  <c r="R15" i="9"/>
  <c r="Q15" i="9"/>
  <c r="P15" i="9"/>
  <c r="T14" i="9"/>
  <c r="S14" i="9"/>
  <c r="R14" i="9"/>
  <c r="Q14" i="9"/>
  <c r="P14" i="9"/>
  <c r="T13" i="9"/>
  <c r="S13" i="9"/>
  <c r="R13" i="9"/>
  <c r="Q13" i="9"/>
  <c r="P13" i="9"/>
  <c r="T12" i="9"/>
  <c r="S12" i="9"/>
  <c r="R12" i="9"/>
  <c r="Q12" i="9"/>
  <c r="P12" i="9"/>
  <c r="T11" i="9"/>
  <c r="S11" i="9"/>
  <c r="R11" i="9"/>
  <c r="Q11" i="9"/>
  <c r="P11" i="9"/>
  <c r="T10" i="9"/>
  <c r="S10" i="9"/>
  <c r="R10" i="9"/>
  <c r="Q10" i="9"/>
  <c r="P10" i="9"/>
  <c r="C28" i="6"/>
  <c r="C27" i="6"/>
  <c r="H49" i="6"/>
  <c r="H50" i="6"/>
  <c r="H51" i="6"/>
  <c r="H52" i="6"/>
  <c r="H53" i="6"/>
  <c r="H54" i="6"/>
  <c r="H55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32" i="6"/>
  <c r="B11" i="6"/>
  <c r="C24" i="6"/>
  <c r="C25" i="6"/>
  <c r="B12" i="6"/>
  <c r="L46" i="7"/>
  <c r="K46" i="7"/>
  <c r="J46" i="7"/>
  <c r="I46" i="7"/>
  <c r="H46" i="7"/>
  <c r="G46" i="7"/>
  <c r="F46" i="7"/>
  <c r="E46" i="7"/>
  <c r="D46" i="7"/>
  <c r="C46" i="7"/>
  <c r="B13" i="6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D6" i="8"/>
  <c r="C6" i="8"/>
  <c r="C6" i="14" l="1"/>
  <c r="H8" i="14" s="1"/>
  <c r="H9" i="14" s="1"/>
  <c r="H3" i="14"/>
  <c r="H4" i="14" s="1"/>
  <c r="B10" i="6"/>
  <c r="B9" i="6"/>
  <c r="C19" i="6" s="1"/>
  <c r="C20" i="6" s="1"/>
  <c r="C21" i="6" s="1"/>
  <c r="D5" i="7"/>
  <c r="E5" i="7"/>
  <c r="F5" i="7"/>
  <c r="G5" i="7"/>
  <c r="H5" i="7"/>
  <c r="I5" i="7"/>
  <c r="J5" i="7"/>
  <c r="K5" i="7"/>
  <c r="L5" i="7"/>
  <c r="C5" i="7"/>
  <c r="B8" i="6"/>
  <c r="B19" i="6" l="1"/>
  <c r="B20" i="6" s="1"/>
  <c r="B21" i="6" s="1"/>
  <c r="D14" i="6" s="1"/>
  <c r="B52" i="6"/>
  <c r="B54" i="6"/>
  <c r="B49" i="6"/>
  <c r="B55" i="6"/>
  <c r="B50" i="6"/>
  <c r="B51" i="6"/>
  <c r="B53" i="6"/>
  <c r="B43" i="6"/>
  <c r="B34" i="6"/>
  <c r="B42" i="6"/>
  <c r="B33" i="6"/>
  <c r="B32" i="6"/>
  <c r="B41" i="6"/>
  <c r="B39" i="6"/>
  <c r="B47" i="6"/>
  <c r="B38" i="6"/>
  <c r="B46" i="6"/>
  <c r="B44" i="6"/>
  <c r="B36" i="6"/>
  <c r="B45" i="6"/>
  <c r="B37" i="6"/>
  <c r="B48" i="6"/>
  <c r="B40" i="6"/>
  <c r="B35" i="6"/>
  <c r="D19" i="6"/>
  <c r="D20" i="6" s="1"/>
  <c r="F53" i="6" l="1"/>
  <c r="C53" i="6"/>
  <c r="D53" i="6"/>
  <c r="E53" i="6"/>
  <c r="G53" i="6"/>
  <c r="D51" i="6"/>
  <c r="C51" i="6"/>
  <c r="G51" i="6"/>
  <c r="F51" i="6"/>
  <c r="E51" i="6"/>
  <c r="C50" i="6"/>
  <c r="D50" i="6"/>
  <c r="F50" i="6"/>
  <c r="E50" i="6"/>
  <c r="G50" i="6"/>
  <c r="F55" i="6"/>
  <c r="G55" i="6"/>
  <c r="C55" i="6"/>
  <c r="D55" i="6"/>
  <c r="E55" i="6"/>
  <c r="C49" i="6"/>
  <c r="D49" i="6"/>
  <c r="E49" i="6"/>
  <c r="F49" i="6"/>
  <c r="G49" i="6"/>
  <c r="C54" i="6"/>
  <c r="D54" i="6"/>
  <c r="E54" i="6"/>
  <c r="F54" i="6"/>
  <c r="G54" i="6"/>
  <c r="E52" i="6"/>
  <c r="D52" i="6"/>
  <c r="C52" i="6"/>
  <c r="G52" i="6"/>
  <c r="F52" i="6"/>
  <c r="C48" i="6"/>
  <c r="D48" i="6"/>
  <c r="E48" i="6"/>
  <c r="F48" i="6"/>
  <c r="G48" i="6"/>
  <c r="E47" i="6"/>
  <c r="F47" i="6"/>
  <c r="G47" i="6"/>
  <c r="C47" i="6"/>
  <c r="D47" i="6"/>
  <c r="G37" i="6"/>
  <c r="C37" i="6"/>
  <c r="D37" i="6"/>
  <c r="E37" i="6"/>
  <c r="F37" i="6"/>
  <c r="E39" i="6"/>
  <c r="F39" i="6"/>
  <c r="G39" i="6"/>
  <c r="C39" i="6"/>
  <c r="D39" i="6"/>
  <c r="G45" i="6"/>
  <c r="C45" i="6"/>
  <c r="D45" i="6"/>
  <c r="E45" i="6"/>
  <c r="F45" i="6"/>
  <c r="C41" i="6"/>
  <c r="D41" i="6"/>
  <c r="E41" i="6"/>
  <c r="F41" i="6"/>
  <c r="G41" i="6"/>
  <c r="D36" i="6"/>
  <c r="E36" i="6"/>
  <c r="F36" i="6"/>
  <c r="G36" i="6"/>
  <c r="C36" i="6"/>
  <c r="G32" i="6"/>
  <c r="C32" i="6"/>
  <c r="D32" i="6"/>
  <c r="E32" i="6"/>
  <c r="F32" i="6"/>
  <c r="D44" i="6"/>
  <c r="E44" i="6"/>
  <c r="F44" i="6"/>
  <c r="G44" i="6"/>
  <c r="C44" i="6"/>
  <c r="C33" i="6"/>
  <c r="D33" i="6"/>
  <c r="E33" i="6"/>
  <c r="F33" i="6"/>
  <c r="G33" i="6"/>
  <c r="F42" i="6"/>
  <c r="G42" i="6"/>
  <c r="C42" i="6"/>
  <c r="D42" i="6"/>
  <c r="E42" i="6"/>
  <c r="C35" i="6"/>
  <c r="D35" i="6"/>
  <c r="E35" i="6"/>
  <c r="F35" i="6"/>
  <c r="G35" i="6"/>
  <c r="C46" i="6"/>
  <c r="D46" i="6"/>
  <c r="E46" i="6"/>
  <c r="F46" i="6"/>
  <c r="G46" i="6"/>
  <c r="F34" i="6"/>
  <c r="G34" i="6"/>
  <c r="C34" i="6"/>
  <c r="D34" i="6"/>
  <c r="E34" i="6"/>
  <c r="C40" i="6"/>
  <c r="D40" i="6"/>
  <c r="E40" i="6"/>
  <c r="F40" i="6"/>
  <c r="G40" i="6"/>
  <c r="C38" i="6"/>
  <c r="D38" i="6"/>
  <c r="E38" i="6"/>
  <c r="F38" i="6"/>
  <c r="G38" i="6"/>
  <c r="C43" i="6"/>
  <c r="D43" i="6"/>
  <c r="E43" i="6"/>
  <c r="F43" i="6"/>
  <c r="G43" i="6"/>
  <c r="D21" i="6"/>
</calcChain>
</file>

<file path=xl/sharedStrings.xml><?xml version="1.0" encoding="utf-8"?>
<sst xmlns="http://schemas.openxmlformats.org/spreadsheetml/2006/main" count="373" uniqueCount="132">
  <si>
    <t>SDR</t>
  </si>
  <si>
    <t>Diameter</t>
  </si>
  <si>
    <t>E (Pa)</t>
  </si>
  <si>
    <t>modulus of water</t>
  </si>
  <si>
    <t>Air %</t>
  </si>
  <si>
    <t>delta P (Pa)</t>
  </si>
  <si>
    <t>Start Pressure (bar)</t>
  </si>
  <si>
    <t>Max Pressure (bar)</t>
  </si>
  <si>
    <r>
      <rPr>
        <b/>
        <sz val="10"/>
        <rFont val="Arial"/>
        <family val="2"/>
      </rPr>
      <t>e</t>
    </r>
    <r>
      <rPr>
        <sz val="8"/>
        <rFont val="Arial"/>
        <family val="2"/>
      </rPr>
      <t>min</t>
    </r>
  </si>
  <si>
    <r>
      <rPr>
        <b/>
        <sz val="10"/>
        <rFont val="Arial"/>
        <family val="2"/>
      </rPr>
      <t>e</t>
    </r>
    <r>
      <rPr>
        <sz val="8"/>
        <rFont val="Arial"/>
        <family val="2"/>
      </rPr>
      <t>max</t>
    </r>
  </si>
  <si>
    <t>S</t>
  </si>
  <si>
    <t>Size in WIS</t>
  </si>
  <si>
    <t>Yes</t>
  </si>
  <si>
    <t>No</t>
  </si>
  <si>
    <t>Pipe Radius (meters)</t>
  </si>
  <si>
    <t>Pipe Volume(liters)</t>
  </si>
  <si>
    <t>PE100</t>
  </si>
  <si>
    <t>Pipe Diameter (mm)</t>
  </si>
  <si>
    <t>PE80 or PE100</t>
  </si>
  <si>
    <t>Calc based on Min Wall Thickness</t>
  </si>
  <si>
    <t>Calc based on SDR Wall Thickness</t>
  </si>
  <si>
    <t>Calc based on Max Wall Thickness</t>
  </si>
  <si>
    <r>
      <t>Pipe WallThickness(meters)/</t>
    </r>
    <r>
      <rPr>
        <b/>
        <sz val="10"/>
        <rFont val="Arial"/>
        <family val="2"/>
      </rPr>
      <t>SDR</t>
    </r>
  </si>
  <si>
    <t>Percent air</t>
  </si>
  <si>
    <t>Length (m)</t>
  </si>
  <si>
    <t>12201-2 Wall Thickness</t>
  </si>
  <si>
    <t>Length</t>
  </si>
  <si>
    <t>Material</t>
  </si>
  <si>
    <t xml:space="preserve">Table for  Additional volume of water to raise the pressure  for </t>
  </si>
  <si>
    <t>Pipe Volume (l)
Min Wall Thickness</t>
  </si>
  <si>
    <r>
      <t xml:space="preserve">The table indicates how much </t>
    </r>
    <r>
      <rPr>
        <b/>
        <sz val="11"/>
        <color theme="1"/>
        <rFont val="Aptos Narrow"/>
        <family val="2"/>
        <scheme val="minor"/>
      </rPr>
      <t xml:space="preserve">less volume </t>
    </r>
    <r>
      <rPr>
        <sz val="10"/>
        <rFont val="Arial"/>
        <family val="2"/>
      </rPr>
      <t>would be required if the starting pressure would be 5 instead of 1 ,</t>
    </r>
    <r>
      <rPr>
        <b/>
        <sz val="11"/>
        <color theme="1"/>
        <rFont val="Aptos Narrow"/>
        <family val="2"/>
        <scheme val="minor"/>
      </rPr>
      <t xml:space="preserve"> with</t>
    </r>
    <r>
      <rPr>
        <sz val="10"/>
        <rFont val="Arial"/>
        <family val="2"/>
      </rPr>
      <t xml:space="preserve"> </t>
    </r>
    <r>
      <rPr>
        <b/>
        <sz val="11"/>
        <color theme="1"/>
        <rFont val="Aptos Narrow"/>
        <family val="2"/>
        <scheme val="minor"/>
      </rPr>
      <t>the same increase of 10 bar</t>
    </r>
  </si>
  <si>
    <t>PE80</t>
  </si>
  <si>
    <t>Pressurisation Volume with</t>
  </si>
  <si>
    <t>Pressurisation Volume (No Air)</t>
  </si>
  <si>
    <t>Table for additional volume of water to raise the pressure  for:
(min wall thickness)</t>
  </si>
  <si>
    <t>Start Pressure (bar) (absolute)</t>
  </si>
  <si>
    <t>Max Pressure (bar)  (absolute)</t>
  </si>
  <si>
    <t>Modulus of water</t>
  </si>
  <si>
    <r>
      <t>Pipe WallThickness(meters)/</t>
    </r>
    <r>
      <rPr>
        <b/>
        <sz val="10"/>
        <rFont val="Arial"/>
        <family val="2"/>
      </rPr>
      <t>Min</t>
    </r>
  </si>
  <si>
    <r>
      <t>Pipe WallThickness(meters)/</t>
    </r>
    <r>
      <rPr>
        <b/>
        <sz val="10"/>
        <rFont val="Arial"/>
        <family val="2"/>
      </rPr>
      <t>Max</t>
    </r>
  </si>
  <si>
    <t>Helper</t>
  </si>
  <si>
    <t>Description</t>
  </si>
  <si>
    <t>Unit</t>
  </si>
  <si>
    <t>Value</t>
  </si>
  <si>
    <t>mm</t>
  </si>
  <si>
    <t>Pa</t>
  </si>
  <si>
    <t>-</t>
  </si>
  <si>
    <t>Pipe min wall thickness</t>
  </si>
  <si>
    <t>Pipe Volume</t>
  </si>
  <si>
    <t xml:space="preserve">Pipe Radius </t>
  </si>
  <si>
    <t>bar (absolute)</t>
  </si>
  <si>
    <t>Start Pressure</t>
  </si>
  <si>
    <t>Max Pressure</t>
  </si>
  <si>
    <t xml:space="preserve">delta P </t>
  </si>
  <si>
    <t>metre</t>
  </si>
  <si>
    <t>metres</t>
  </si>
  <si>
    <t>This the table that the formulas get the wall thickness</t>
  </si>
  <si>
    <t>litres</t>
  </si>
  <si>
    <t>Wall thickness Calculation basde on SDR</t>
  </si>
  <si>
    <t>% difference in the wall thickness between 12201 and SDR calculation</t>
  </si>
  <si>
    <t>1st stage filling volume</t>
  </si>
  <si>
    <t>2nd stage Pressurisation</t>
  </si>
  <si>
    <t>PE 100</t>
  </si>
  <si>
    <t>1 Hour Modulus PE100</t>
  </si>
  <si>
    <t>Temp</t>
  </si>
  <si>
    <t>y=-30.223x+1198.6</t>
  </si>
  <si>
    <t>y=-18.4x+775.78</t>
  </si>
  <si>
    <t xml:space="preserve">Modulus of PE </t>
  </si>
  <si>
    <t xml:space="preserve">Material Choice </t>
  </si>
  <si>
    <t>Temperature</t>
  </si>
  <si>
    <t>°C</t>
  </si>
  <si>
    <t>1 Hour PE Modulus PE100</t>
  </si>
  <si>
    <t>1 Hour PE Modulus PE80</t>
  </si>
  <si>
    <t>Minimum volume of water to deliver a  valid test.</t>
  </si>
  <si>
    <t>Modulus of Water: 2,050,000,000 Pa</t>
  </si>
  <si>
    <t>Please input</t>
  </si>
  <si>
    <t>For Information</t>
  </si>
  <si>
    <t>Equations for Modulus</t>
  </si>
  <si>
    <r>
      <t>Modulus of PE  
As provided by the manufacturer for the temperature above</t>
    </r>
    <r>
      <rPr>
        <b/>
        <sz val="10"/>
        <color rgb="FFFF0000"/>
        <rFont val="Arial"/>
        <family val="2"/>
        <charset val="161"/>
      </rPr>
      <t xml:space="preserve">
</t>
    </r>
    <r>
      <rPr>
        <b/>
        <i/>
        <sz val="10"/>
        <color rgb="FFFF0000"/>
        <rFont val="Arial"/>
        <family val="2"/>
        <charset val="161"/>
      </rPr>
      <t>NOTE:</t>
    </r>
    <r>
      <rPr>
        <i/>
        <sz val="10"/>
        <color rgb="FFFF0000"/>
        <rFont val="Arial"/>
        <family val="2"/>
        <charset val="161"/>
      </rPr>
      <t>If left blank the PE Modulus will be calculated as per the Equations for Modulus</t>
    </r>
  </si>
  <si>
    <r>
      <t>E</t>
    </r>
    <r>
      <rPr>
        <i/>
        <vertAlign val="subscript"/>
        <sz val="10"/>
        <rFont val="Arial"/>
        <family val="2"/>
      </rPr>
      <t xml:space="preserve">pe80 </t>
    </r>
    <r>
      <rPr>
        <i/>
        <sz val="10"/>
        <rFont val="Arial"/>
        <family val="2"/>
        <charset val="161"/>
      </rPr>
      <t>= 775.78 - (18.4*Temperature)</t>
    </r>
  </si>
  <si>
    <r>
      <t>E</t>
    </r>
    <r>
      <rPr>
        <i/>
        <vertAlign val="subscript"/>
        <sz val="10"/>
        <rFont val="Arial"/>
        <family val="2"/>
      </rPr>
      <t xml:space="preserve">pe100 </t>
    </r>
    <r>
      <rPr>
        <i/>
        <sz val="10"/>
        <rFont val="Arial"/>
        <family val="2"/>
        <charset val="161"/>
      </rPr>
      <t>= 1198.6 - (30.223*Temperature)</t>
    </r>
  </si>
  <si>
    <t>Pipe external diameter (DN)</t>
  </si>
  <si>
    <t>min</t>
  </si>
  <si>
    <r>
      <t>E</t>
    </r>
    <r>
      <rPr>
        <vertAlign val="subscript"/>
        <sz val="11"/>
        <rFont val="Arial"/>
        <family val="2"/>
        <charset val="161"/>
      </rPr>
      <t xml:space="preserve">PE </t>
    </r>
    <r>
      <rPr>
        <sz val="11"/>
        <rFont val="Arial"/>
        <family val="2"/>
        <charset val="161"/>
      </rPr>
      <t>= 892.42t</t>
    </r>
    <r>
      <rPr>
        <vertAlign val="superscript"/>
        <sz val="11"/>
        <rFont val="Arial"/>
        <family val="2"/>
        <charset val="161"/>
      </rPr>
      <t>-0.192</t>
    </r>
  </si>
  <si>
    <r>
      <t>E</t>
    </r>
    <r>
      <rPr>
        <vertAlign val="subscript"/>
        <sz val="11"/>
        <rFont val="Arial"/>
        <family val="2"/>
        <charset val="161"/>
      </rPr>
      <t xml:space="preserve">PE </t>
    </r>
    <r>
      <rPr>
        <sz val="11"/>
        <rFont val="Arial"/>
        <family val="2"/>
        <charset val="161"/>
      </rPr>
      <t>= 606.14t</t>
    </r>
    <r>
      <rPr>
        <vertAlign val="superscript"/>
        <sz val="11"/>
        <rFont val="Arial"/>
        <family val="2"/>
        <charset val="161"/>
      </rPr>
      <t>-0.232</t>
    </r>
  </si>
  <si>
    <r>
      <t>E</t>
    </r>
    <r>
      <rPr>
        <vertAlign val="subscript"/>
        <sz val="11"/>
        <rFont val="Arial"/>
        <family val="2"/>
        <charset val="161"/>
      </rPr>
      <t xml:space="preserve">PE </t>
    </r>
    <r>
      <rPr>
        <sz val="11"/>
        <rFont val="Arial"/>
        <family val="2"/>
        <charset val="161"/>
      </rPr>
      <t>= 435.09t</t>
    </r>
    <r>
      <rPr>
        <vertAlign val="superscript"/>
        <sz val="11"/>
        <rFont val="Arial"/>
        <family val="2"/>
        <charset val="161"/>
      </rPr>
      <t>-0.267</t>
    </r>
  </si>
  <si>
    <t>Time (hours)</t>
  </si>
  <si>
    <t>AI Equation result</t>
  </si>
  <si>
    <t xml:space="preserve">Temperature </t>
  </si>
  <si>
    <t>Expiremental equation</t>
  </si>
  <si>
    <t>Values from 1 hour Modulus equation</t>
  </si>
  <si>
    <t>Result of DCL Equation  for</t>
  </si>
  <si>
    <t>Min</t>
  </si>
  <si>
    <t>Hours</t>
  </si>
  <si>
    <t>10°C</t>
  </si>
  <si>
    <t>20 °C</t>
  </si>
  <si>
    <t>25°C</t>
  </si>
  <si>
    <t>For Modulus Calculation  y=ax+b as per column Equations by DCL Graph</t>
  </si>
  <si>
    <t>a=</t>
  </si>
  <si>
    <t>b=</t>
  </si>
  <si>
    <t>y=</t>
  </si>
  <si>
    <t>PE100 
Equation by DCL Graph</t>
  </si>
  <si>
    <t>Verification purposes</t>
  </si>
  <si>
    <t>PE80
Equation by DCL Graph</t>
  </si>
  <si>
    <t>This values is used for PE80</t>
  </si>
  <si>
    <t>Rounding up AI</t>
  </si>
  <si>
    <t>For Info Only</t>
  </si>
  <si>
    <t>AI Produced Equation calclulation</t>
  </si>
  <si>
    <t>Time</t>
  </si>
  <si>
    <t xml:space="preserve">Temperature (C) </t>
  </si>
  <si>
    <t>Modulus (MPa)</t>
  </si>
  <si>
    <r>
      <t>y = 892.42x</t>
    </r>
    <r>
      <rPr>
        <vertAlign val="superscript"/>
        <sz val="11"/>
        <color theme="1"/>
        <rFont val="Aptos Narrow"/>
        <family val="2"/>
        <scheme val="minor"/>
      </rPr>
      <t>-0.192</t>
    </r>
  </si>
  <si>
    <t>Modulus</t>
  </si>
  <si>
    <r>
      <t>y = 606.14x</t>
    </r>
    <r>
      <rPr>
        <vertAlign val="superscript"/>
        <sz val="11"/>
        <color theme="1"/>
        <rFont val="Aptos Narrow"/>
        <family val="2"/>
        <scheme val="minor"/>
      </rPr>
      <t>-0.232</t>
    </r>
  </si>
  <si>
    <r>
      <t>y = 407.78x</t>
    </r>
    <r>
      <rPr>
        <vertAlign val="superscript"/>
        <sz val="11"/>
        <color theme="1"/>
        <rFont val="Aptos Narrow"/>
        <family val="2"/>
        <scheme val="minor"/>
      </rPr>
      <t>-0.214</t>
    </r>
  </si>
  <si>
    <r>
      <t>y = 435.09x</t>
    </r>
    <r>
      <rPr>
        <vertAlign val="superscript"/>
        <sz val="11"/>
        <color theme="1"/>
        <rFont val="Aptos Narrow"/>
        <family val="2"/>
        <scheme val="minor"/>
      </rPr>
      <t>-0.267</t>
    </r>
  </si>
  <si>
    <r>
      <t>y = 315.78x</t>
    </r>
    <r>
      <rPr>
        <vertAlign val="superscript"/>
        <sz val="11"/>
        <color theme="1"/>
        <rFont val="Aptos Narrow"/>
        <family val="2"/>
        <scheme val="minor"/>
      </rPr>
      <t>-0.232</t>
    </r>
  </si>
  <si>
    <t>Time (mins)</t>
  </si>
  <si>
    <t>Time (h)</t>
  </si>
  <si>
    <t>Slope</t>
  </si>
  <si>
    <t>XX is:</t>
  </si>
  <si>
    <t>This value is used for PE100</t>
  </si>
  <si>
    <t>Auto calculated ( to be hidden)</t>
  </si>
  <si>
    <t>To be hidden</t>
  </si>
  <si>
    <t>Please input if needed as per note</t>
  </si>
  <si>
    <t>Please select from dropdown</t>
  </si>
  <si>
    <r>
      <t xml:space="preserve">Epe Modulus of PE*  </t>
    </r>
    <r>
      <rPr>
        <b/>
        <i/>
        <sz val="10"/>
        <rFont val="Arial"/>
        <family val="2"/>
      </rPr>
      <t>(Value to be derived from the equation in Table A.5 or A.6 or from the manufacturer's data.)</t>
    </r>
  </si>
  <si>
    <r>
      <t>N/m</t>
    </r>
    <r>
      <rPr>
        <vertAlign val="superscript"/>
        <sz val="10"/>
        <rFont val="Arial"/>
        <family val="2"/>
        <charset val="161"/>
      </rPr>
      <t>2</t>
    </r>
  </si>
  <si>
    <r>
      <t xml:space="preserve">Please input 
</t>
    </r>
    <r>
      <rPr>
        <i/>
        <sz val="10"/>
        <color rgb="FFFF0000"/>
        <rFont val="Arial"/>
        <family val="2"/>
        <charset val="161"/>
      </rPr>
      <t>(Only temperatures less than or equal to 20°C should be entered in this field)</t>
    </r>
  </si>
  <si>
    <r>
      <t xml:space="preserve">Please input
</t>
    </r>
    <r>
      <rPr>
        <i/>
        <sz val="10"/>
        <color rgb="FFFF0000"/>
        <rFont val="Arial"/>
        <family val="2"/>
        <charset val="161"/>
      </rPr>
      <t>(Only whole numbers up to and including 30 minutes should be entered in this field.)</t>
    </r>
  </si>
  <si>
    <r>
      <t xml:space="preserve">Temperature
</t>
    </r>
    <r>
      <rPr>
        <sz val="10"/>
        <color rgb="FFFF0000"/>
        <rFont val="Arial"/>
        <family val="2"/>
        <charset val="161"/>
      </rPr>
      <t>(Assume 10°C for buried pipe installations, unless better information exists.)</t>
    </r>
  </si>
  <si>
    <t xml:space="preserve">Ramp up time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</si>
</sst>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0.000000000000"/>
    <numFmt numFmtId="166" formatCode="#,##0.000"/>
    <numFmt numFmtId="167" formatCode="#,##0.00000"/>
    <numFmt numFmtId="168" formatCode="0.0%"/>
    <numFmt numFmtId="169" formatCode="#,##0.0"/>
    <numFmt numFmtId="170" formatCode="#,##0.0000"/>
  </numFmts>
  <fonts count="34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color rgb="FF231F2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i/>
      <sz val="9"/>
      <color rgb="FF231F21"/>
      <name val="Arial"/>
      <family val="2"/>
    </font>
    <font>
      <b/>
      <i/>
      <sz val="9"/>
      <color rgb="FF231F21"/>
      <name val="Arial"/>
      <family val="2"/>
    </font>
    <font>
      <b/>
      <sz val="11"/>
      <color theme="1"/>
      <name val="Aptos Narrow"/>
      <family val="2"/>
      <scheme val="minor"/>
    </font>
    <font>
      <i/>
      <sz val="10"/>
      <name val="Arial"/>
      <family val="2"/>
    </font>
    <font>
      <sz val="11"/>
      <name val="Arial"/>
      <family val="2"/>
    </font>
    <font>
      <sz val="11"/>
      <name val="Aptos Narrow"/>
      <family val="2"/>
      <scheme val="minor"/>
    </font>
    <font>
      <b/>
      <i/>
      <sz val="1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  <charset val="161"/>
    </font>
    <font>
      <sz val="10"/>
      <name val="Arial"/>
      <family val="2"/>
      <charset val="161"/>
    </font>
    <font>
      <i/>
      <sz val="10"/>
      <name val="Arial"/>
      <family val="2"/>
      <charset val="161"/>
    </font>
    <font>
      <b/>
      <i/>
      <sz val="10"/>
      <color rgb="FFFF0000"/>
      <name val="Arial"/>
      <family val="2"/>
      <charset val="161"/>
    </font>
    <font>
      <i/>
      <sz val="10"/>
      <color rgb="FFFF0000"/>
      <name val="Arial"/>
      <family val="2"/>
      <charset val="161"/>
    </font>
    <font>
      <u/>
      <sz val="10"/>
      <name val="Arial"/>
      <family val="2"/>
      <charset val="161"/>
    </font>
    <font>
      <i/>
      <vertAlign val="subscript"/>
      <sz val="10"/>
      <name val="Arial"/>
      <family val="2"/>
    </font>
    <font>
      <sz val="11"/>
      <name val="Arial"/>
      <family val="2"/>
      <charset val="161"/>
    </font>
    <font>
      <vertAlign val="subscript"/>
      <sz val="11"/>
      <name val="Arial"/>
      <family val="2"/>
      <charset val="161"/>
    </font>
    <font>
      <vertAlign val="superscript"/>
      <sz val="11"/>
      <name val="Arial"/>
      <family val="2"/>
      <charset val="161"/>
    </font>
    <font>
      <sz val="12"/>
      <name val="Aptos"/>
      <family val="2"/>
    </font>
    <font>
      <vertAlign val="superscript"/>
      <sz val="11"/>
      <color theme="1"/>
      <name val="Aptos Narrow"/>
      <family val="2"/>
      <scheme val="minor"/>
    </font>
    <font>
      <vertAlign val="superscript"/>
      <sz val="10"/>
      <name val="Arial"/>
      <family val="2"/>
      <charset val="161"/>
    </font>
    <font>
      <sz val="10"/>
      <color rgb="FFFF000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</cellStyleXfs>
  <cellXfs count="214">
    <xf numFmtId="0" fontId="0" fillId="0" borderId="0" xfId="0"/>
    <xf numFmtId="164" fontId="0" fillId="0" borderId="0" xfId="0" applyNumberFormat="1"/>
    <xf numFmtId="43" fontId="0" fillId="0" borderId="0" xfId="0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8" fillId="0" borderId="0" xfId="0" applyFont="1"/>
    <xf numFmtId="2" fontId="6" fillId="0" borderId="1" xfId="0" applyNumberFormat="1" applyFont="1" applyBorder="1" applyAlignment="1">
      <alignment horizontal="left" vertical="top" wrapText="1"/>
    </xf>
    <xf numFmtId="0" fontId="0" fillId="0" borderId="1" xfId="0" applyBorder="1"/>
    <xf numFmtId="0" fontId="8" fillId="0" borderId="1" xfId="0" applyFont="1" applyBorder="1"/>
    <xf numFmtId="0" fontId="8" fillId="0" borderId="2" xfId="0" applyFont="1" applyBorder="1"/>
    <xf numFmtId="0" fontId="8" fillId="2" borderId="2" xfId="0" applyFont="1" applyFill="1" applyBorder="1"/>
    <xf numFmtId="2" fontId="6" fillId="2" borderId="1" xfId="0" applyNumberFormat="1" applyFont="1" applyFill="1" applyBorder="1" applyAlignment="1">
      <alignment horizontal="left" vertical="top" wrapText="1"/>
    </xf>
    <xf numFmtId="0" fontId="8" fillId="2" borderId="5" xfId="0" applyFont="1" applyFill="1" applyBorder="1"/>
    <xf numFmtId="2" fontId="6" fillId="2" borderId="6" xfId="0" applyNumberFormat="1" applyFont="1" applyFill="1" applyBorder="1" applyAlignment="1">
      <alignment horizontal="left" vertical="top" wrapText="1"/>
    </xf>
    <xf numFmtId="0" fontId="7" fillId="0" borderId="1" xfId="0" applyFont="1" applyBorder="1"/>
    <xf numFmtId="0" fontId="10" fillId="0" borderId="1" xfId="0" applyFont="1" applyBorder="1"/>
    <xf numFmtId="0" fontId="11" fillId="0" borderId="3" xfId="0" applyFont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165" fontId="0" fillId="0" borderId="0" xfId="0" applyNumberFormat="1"/>
    <xf numFmtId="0" fontId="8" fillId="3" borderId="7" xfId="0" applyFont="1" applyFill="1" applyBorder="1" applyAlignment="1">
      <alignment wrapText="1"/>
    </xf>
    <xf numFmtId="1" fontId="6" fillId="0" borderId="1" xfId="0" applyNumberFormat="1" applyFont="1" applyBorder="1" applyAlignment="1">
      <alignment horizontal="left" vertical="top" wrapText="1"/>
    </xf>
    <xf numFmtId="0" fontId="5" fillId="3" borderId="7" xfId="0" applyFont="1" applyFill="1" applyBorder="1" applyAlignment="1">
      <alignment horizontal="left" vertical="top"/>
    </xf>
    <xf numFmtId="0" fontId="5" fillId="3" borderId="8" xfId="0" applyFont="1" applyFill="1" applyBorder="1" applyAlignment="1">
      <alignment horizontal="left" vertical="top"/>
    </xf>
    <xf numFmtId="0" fontId="5" fillId="3" borderId="9" xfId="0" applyFont="1" applyFill="1" applyBorder="1" applyAlignment="1">
      <alignment horizontal="left" vertical="top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1" fontId="0" fillId="0" borderId="0" xfId="0" applyNumberFormat="1"/>
    <xf numFmtId="1" fontId="4" fillId="0" borderId="0" xfId="0" quotePrefix="1" applyNumberFormat="1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" fontId="5" fillId="0" borderId="17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4" fontId="0" fillId="0" borderId="0" xfId="1" applyNumberFormat="1" applyFont="1" applyFill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4" fontId="0" fillId="0" borderId="23" xfId="0" applyNumberFormat="1" applyBorder="1" applyAlignment="1">
      <alignment horizontal="right" vertical="top"/>
    </xf>
    <xf numFmtId="0" fontId="4" fillId="0" borderId="24" xfId="0" applyFont="1" applyBorder="1" applyAlignment="1">
      <alignment horizontal="left" vertical="top"/>
    </xf>
    <xf numFmtId="0" fontId="14" fillId="0" borderId="25" xfId="0" applyFont="1" applyBorder="1" applyAlignment="1">
      <alignment horizontal="right" vertical="top"/>
    </xf>
    <xf numFmtId="0" fontId="0" fillId="0" borderId="24" xfId="0" applyBorder="1" applyAlignment="1">
      <alignment horizontal="left" vertical="top"/>
    </xf>
    <xf numFmtId="0" fontId="4" fillId="0" borderId="26" xfId="0" applyFont="1" applyBorder="1" applyAlignment="1">
      <alignment horizontal="left" vertical="top"/>
    </xf>
    <xf numFmtId="0" fontId="14" fillId="0" borderId="27" xfId="0" applyFont="1" applyBorder="1" applyAlignment="1">
      <alignment horizontal="right" vertical="top"/>
    </xf>
    <xf numFmtId="0" fontId="5" fillId="0" borderId="13" xfId="0" applyFont="1" applyBorder="1" applyAlignment="1">
      <alignment horizontal="center" vertical="center" wrapText="1"/>
    </xf>
    <xf numFmtId="0" fontId="4" fillId="0" borderId="0" xfId="3"/>
    <xf numFmtId="43" fontId="4" fillId="0" borderId="0" xfId="3" applyNumberFormat="1"/>
    <xf numFmtId="0" fontId="3" fillId="0" borderId="0" xfId="4"/>
    <xf numFmtId="0" fontId="14" fillId="0" borderId="1" xfId="3" applyFont="1" applyBorder="1" applyAlignment="1">
      <alignment horizontal="right" vertical="top"/>
    </xf>
    <xf numFmtId="0" fontId="4" fillId="0" borderId="0" xfId="3" applyAlignment="1">
      <alignment horizontal="center" vertical="center"/>
    </xf>
    <xf numFmtId="0" fontId="5" fillId="0" borderId="3" xfId="3" applyFont="1" applyBorder="1" applyAlignment="1">
      <alignment vertical="center"/>
    </xf>
    <xf numFmtId="0" fontId="5" fillId="0" borderId="4" xfId="3" applyFont="1" applyBorder="1" applyAlignment="1">
      <alignment vertical="center"/>
    </xf>
    <xf numFmtId="0" fontId="5" fillId="0" borderId="10" xfId="3" applyFont="1" applyBorder="1" applyAlignment="1">
      <alignment vertical="center"/>
    </xf>
    <xf numFmtId="0" fontId="5" fillId="4" borderId="4" xfId="3" applyFont="1" applyFill="1" applyBorder="1" applyAlignment="1">
      <alignment vertical="center"/>
    </xf>
    <xf numFmtId="0" fontId="5" fillId="0" borderId="3" xfId="4" applyFont="1" applyBorder="1" applyAlignment="1">
      <alignment vertical="center"/>
    </xf>
    <xf numFmtId="0" fontId="5" fillId="0" borderId="4" xfId="4" applyFont="1" applyBorder="1" applyAlignment="1">
      <alignment vertical="center"/>
    </xf>
    <xf numFmtId="0" fontId="5" fillId="0" borderId="10" xfId="4" applyFont="1" applyBorder="1" applyAlignment="1">
      <alignment vertical="center"/>
    </xf>
    <xf numFmtId="0" fontId="3" fillId="4" borderId="0" xfId="4" applyFill="1"/>
    <xf numFmtId="0" fontId="5" fillId="0" borderId="13" xfId="3" applyFont="1" applyBorder="1" applyAlignment="1">
      <alignment horizontal="center" vertical="center"/>
    </xf>
    <xf numFmtId="0" fontId="5" fillId="0" borderId="22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1" fontId="5" fillId="0" borderId="17" xfId="3" applyNumberFormat="1" applyFont="1" applyBorder="1" applyAlignment="1">
      <alignment horizontal="center" vertical="center"/>
    </xf>
    <xf numFmtId="0" fontId="5" fillId="0" borderId="23" xfId="3" applyFont="1" applyBorder="1" applyAlignment="1">
      <alignment horizontal="center" vertical="center"/>
    </xf>
    <xf numFmtId="0" fontId="5" fillId="4" borderId="28" xfId="3" applyFont="1" applyFill="1" applyBorder="1" applyAlignment="1">
      <alignment horizontal="center" vertical="center"/>
    </xf>
    <xf numFmtId="0" fontId="5" fillId="0" borderId="22" xfId="4" applyFont="1" applyBorder="1" applyAlignment="1">
      <alignment horizontal="center" vertical="center"/>
    </xf>
    <xf numFmtId="0" fontId="5" fillId="0" borderId="17" xfId="4" applyFont="1" applyBorder="1" applyAlignment="1">
      <alignment horizontal="center" vertical="center"/>
    </xf>
    <xf numFmtId="1" fontId="5" fillId="0" borderId="17" xfId="4" applyNumberFormat="1" applyFont="1" applyBorder="1" applyAlignment="1">
      <alignment horizontal="center" vertical="center"/>
    </xf>
    <xf numFmtId="0" fontId="5" fillId="0" borderId="23" xfId="4" applyFont="1" applyBorder="1" applyAlignment="1">
      <alignment horizontal="center" vertical="center"/>
    </xf>
    <xf numFmtId="0" fontId="15" fillId="0" borderId="14" xfId="3" applyFont="1" applyBorder="1" applyAlignment="1">
      <alignment vertical="center" wrapText="1"/>
    </xf>
    <xf numFmtId="1" fontId="4" fillId="0" borderId="24" xfId="3" applyNumberFormat="1" applyBorder="1"/>
    <xf numFmtId="1" fontId="4" fillId="0" borderId="1" xfId="3" applyNumberFormat="1" applyBorder="1"/>
    <xf numFmtId="1" fontId="4" fillId="0" borderId="25" xfId="3" applyNumberFormat="1" applyBorder="1"/>
    <xf numFmtId="1" fontId="4" fillId="4" borderId="29" xfId="3" applyNumberFormat="1" applyFill="1" applyBorder="1"/>
    <xf numFmtId="1" fontId="3" fillId="0" borderId="24" xfId="4" applyNumberFormat="1" applyBorder="1"/>
    <xf numFmtId="1" fontId="3" fillId="0" borderId="1" xfId="4" applyNumberFormat="1" applyBorder="1"/>
    <xf numFmtId="1" fontId="3" fillId="0" borderId="25" xfId="4" applyNumberFormat="1" applyBorder="1"/>
    <xf numFmtId="0" fontId="15" fillId="0" borderId="15" xfId="3" applyFont="1" applyBorder="1" applyAlignment="1">
      <alignment vertical="center" wrapText="1"/>
    </xf>
    <xf numFmtId="1" fontId="4" fillId="0" borderId="26" xfId="3" applyNumberFormat="1" applyBorder="1"/>
    <xf numFmtId="1" fontId="4" fillId="0" borderId="20" xfId="3" applyNumberFormat="1" applyBorder="1"/>
    <xf numFmtId="1" fontId="4" fillId="0" borderId="27" xfId="3" applyNumberFormat="1" applyBorder="1"/>
    <xf numFmtId="1" fontId="4" fillId="4" borderId="30" xfId="3" applyNumberFormat="1" applyFill="1" applyBorder="1"/>
    <xf numFmtId="1" fontId="3" fillId="0" borderId="26" xfId="4" applyNumberFormat="1" applyBorder="1"/>
    <xf numFmtId="1" fontId="3" fillId="0" borderId="20" xfId="4" applyNumberFormat="1" applyBorder="1"/>
    <xf numFmtId="1" fontId="3" fillId="0" borderId="27" xfId="4" applyNumberFormat="1" applyBorder="1"/>
    <xf numFmtId="1" fontId="16" fillId="0" borderId="1" xfId="4" applyNumberFormat="1" applyFont="1" applyBorder="1"/>
    <xf numFmtId="4" fontId="4" fillId="0" borderId="2" xfId="3" applyNumberFormat="1" applyBorder="1" applyAlignment="1">
      <alignment horizontal="right" vertical="top"/>
    </xf>
    <xf numFmtId="0" fontId="8" fillId="3" borderId="22" xfId="0" applyFont="1" applyFill="1" applyBorder="1" applyAlignment="1">
      <alignment horizontal="left" vertical="top"/>
    </xf>
    <xf numFmtId="3" fontId="0" fillId="5" borderId="23" xfId="0" applyNumberFormat="1" applyFill="1" applyBorder="1" applyAlignment="1" applyProtection="1">
      <alignment horizontal="left" vertical="top"/>
      <protection locked="0"/>
    </xf>
    <xf numFmtId="0" fontId="0" fillId="3" borderId="24" xfId="0" applyFill="1" applyBorder="1" applyAlignment="1">
      <alignment horizontal="left" vertical="top"/>
    </xf>
    <xf numFmtId="3" fontId="0" fillId="5" borderId="25" xfId="1" applyNumberFormat="1" applyFont="1" applyFill="1" applyBorder="1" applyAlignment="1" applyProtection="1">
      <alignment horizontal="left" vertical="top"/>
      <protection locked="0"/>
    </xf>
    <xf numFmtId="0" fontId="8" fillId="3" borderId="24" xfId="0" applyFont="1" applyFill="1" applyBorder="1" applyAlignment="1">
      <alignment horizontal="left" vertical="top"/>
    </xf>
    <xf numFmtId="4" fontId="0" fillId="5" borderId="25" xfId="1" applyNumberFormat="1" applyFont="1" applyFill="1" applyBorder="1" applyAlignment="1" applyProtection="1">
      <alignment horizontal="left" vertical="top"/>
      <protection locked="0"/>
    </xf>
    <xf numFmtId="0" fontId="4" fillId="3" borderId="24" xfId="0" applyFont="1" applyFill="1" applyBorder="1" applyAlignment="1">
      <alignment horizontal="left" vertical="top"/>
    </xf>
    <xf numFmtId="0" fontId="0" fillId="3" borderId="22" xfId="0" applyFill="1" applyBorder="1" applyAlignment="1">
      <alignment horizontal="left" vertical="top"/>
    </xf>
    <xf numFmtId="0" fontId="5" fillId="3" borderId="26" xfId="0" applyFont="1" applyFill="1" applyBorder="1" applyAlignment="1">
      <alignment horizontal="left" vertical="top"/>
    </xf>
    <xf numFmtId="0" fontId="4" fillId="3" borderId="26" xfId="0" applyFont="1" applyFill="1" applyBorder="1" applyAlignment="1">
      <alignment horizontal="left" vertical="top"/>
    </xf>
    <xf numFmtId="4" fontId="0" fillId="5" borderId="27" xfId="1" applyNumberFormat="1" applyFont="1" applyFill="1" applyBorder="1" applyAlignment="1" applyProtection="1">
      <alignment horizontal="left" vertical="top"/>
      <protection locked="0"/>
    </xf>
    <xf numFmtId="4" fontId="0" fillId="3" borderId="23" xfId="0" applyNumberFormat="1" applyFill="1" applyBorder="1" applyAlignment="1" applyProtection="1">
      <alignment horizontal="left" vertical="top"/>
      <protection hidden="1"/>
    </xf>
    <xf numFmtId="166" fontId="0" fillId="3" borderId="25" xfId="0" applyNumberFormat="1" applyFill="1" applyBorder="1" applyAlignment="1" applyProtection="1">
      <alignment horizontal="left" vertical="top"/>
      <protection hidden="1"/>
    </xf>
    <xf numFmtId="167" fontId="0" fillId="3" borderId="25" xfId="0" applyNumberFormat="1" applyFill="1" applyBorder="1" applyAlignment="1" applyProtection="1">
      <alignment horizontal="left" vertical="top"/>
      <protection hidden="1"/>
    </xf>
    <xf numFmtId="167" fontId="4" fillId="3" borderId="25" xfId="0" quotePrefix="1" applyNumberFormat="1" applyFont="1" applyFill="1" applyBorder="1" applyAlignment="1" applyProtection="1">
      <alignment horizontal="left" vertical="top" wrapText="1"/>
      <protection hidden="1"/>
    </xf>
    <xf numFmtId="167" fontId="0" fillId="3" borderId="27" xfId="0" applyNumberFormat="1" applyFill="1" applyBorder="1" applyAlignment="1" applyProtection="1">
      <alignment horizontal="left" vertical="top" wrapText="1"/>
      <protection hidden="1"/>
    </xf>
    <xf numFmtId="4" fontId="0" fillId="3" borderId="23" xfId="1" applyNumberFormat="1" applyFont="1" applyFill="1" applyBorder="1" applyAlignment="1" applyProtection="1">
      <alignment horizontal="left" vertical="top"/>
      <protection hidden="1"/>
    </xf>
    <xf numFmtId="4" fontId="0" fillId="3" borderId="27" xfId="1" applyNumberFormat="1" applyFont="1" applyFill="1" applyBorder="1" applyAlignment="1" applyProtection="1">
      <alignment horizontal="left" vertical="top"/>
      <protection locked="0" hidden="1"/>
    </xf>
    <xf numFmtId="4" fontId="5" fillId="3" borderId="8" xfId="0" quotePrefix="1" applyNumberFormat="1" applyFont="1" applyFill="1" applyBorder="1" applyAlignment="1" applyProtection="1">
      <alignment horizontal="left" vertical="top"/>
      <protection hidden="1"/>
    </xf>
    <xf numFmtId="3" fontId="4" fillId="3" borderId="8" xfId="0" quotePrefix="1" applyNumberFormat="1" applyFont="1" applyFill="1" applyBorder="1" applyAlignment="1" applyProtection="1">
      <alignment horizontal="left" vertical="top"/>
      <protection hidden="1"/>
    </xf>
    <xf numFmtId="4" fontId="5" fillId="3" borderId="9" xfId="1" quotePrefix="1" applyNumberFormat="1" applyFont="1" applyFill="1" applyBorder="1" applyAlignment="1" applyProtection="1">
      <alignment horizontal="left" vertical="top"/>
      <protection hidden="1"/>
    </xf>
    <xf numFmtId="4" fontId="8" fillId="3" borderId="8" xfId="0" quotePrefix="1" applyNumberFormat="1" applyFont="1" applyFill="1" applyBorder="1" applyAlignment="1" applyProtection="1">
      <alignment horizontal="left" vertical="top"/>
      <protection hidden="1"/>
    </xf>
    <xf numFmtId="1" fontId="0" fillId="0" borderId="6" xfId="0" applyNumberFormat="1" applyBorder="1" applyProtection="1">
      <protection hidden="1"/>
    </xf>
    <xf numFmtId="1" fontId="0" fillId="0" borderId="1" xfId="0" applyNumberFormat="1" applyBorder="1" applyProtection="1">
      <protection hidden="1"/>
    </xf>
    <xf numFmtId="1" fontId="0" fillId="0" borderId="12" xfId="0" applyNumberFormat="1" applyBorder="1" applyProtection="1">
      <protection hidden="1"/>
    </xf>
    <xf numFmtId="1" fontId="4" fillId="0" borderId="14" xfId="0" quotePrefix="1" applyNumberFormat="1" applyFont="1" applyBorder="1" applyAlignment="1" applyProtection="1">
      <alignment horizontal="center" vertical="center"/>
      <protection hidden="1"/>
    </xf>
    <xf numFmtId="1" fontId="0" fillId="0" borderId="19" xfId="0" applyNumberFormat="1" applyBorder="1" applyProtection="1">
      <protection hidden="1"/>
    </xf>
    <xf numFmtId="1" fontId="0" fillId="0" borderId="20" xfId="0" applyNumberFormat="1" applyBorder="1" applyProtection="1">
      <protection hidden="1"/>
    </xf>
    <xf numFmtId="1" fontId="0" fillId="0" borderId="21" xfId="0" applyNumberFormat="1" applyBorder="1" applyProtection="1">
      <protection hidden="1"/>
    </xf>
    <xf numFmtId="1" fontId="4" fillId="0" borderId="15" xfId="0" quotePrefix="1" applyNumberFormat="1" applyFont="1" applyBorder="1" applyAlignment="1" applyProtection="1">
      <alignment horizontal="center" vertical="center"/>
      <protection hidden="1"/>
    </xf>
    <xf numFmtId="9" fontId="0" fillId="5" borderId="25" xfId="2" applyFont="1" applyFill="1" applyBorder="1" applyAlignment="1" applyProtection="1">
      <alignment horizontal="left" vertical="top"/>
      <protection locked="0"/>
    </xf>
    <xf numFmtId="0" fontId="5" fillId="0" borderId="0" xfId="0" applyFont="1"/>
    <xf numFmtId="0" fontId="8" fillId="3" borderId="7" xfId="0" applyFont="1" applyFill="1" applyBorder="1" applyAlignment="1">
      <alignment horizontal="left" vertical="top" wrapText="1"/>
    </xf>
    <xf numFmtId="1" fontId="4" fillId="6" borderId="1" xfId="3" applyNumberFormat="1" applyFill="1" applyBorder="1"/>
    <xf numFmtId="1" fontId="3" fillId="6" borderId="1" xfId="4" applyNumberFormat="1" applyFill="1" applyBorder="1"/>
    <xf numFmtId="164" fontId="0" fillId="0" borderId="1" xfId="0" applyNumberFormat="1" applyBorder="1"/>
    <xf numFmtId="168" fontId="0" fillId="0" borderId="1" xfId="2" applyNumberFormat="1" applyFont="1" applyBorder="1"/>
    <xf numFmtId="0" fontId="11" fillId="0" borderId="0" xfId="0" applyFont="1" applyAlignment="1">
      <alignment horizontal="left" vertical="center" wrapText="1"/>
    </xf>
    <xf numFmtId="0" fontId="4" fillId="0" borderId="1" xfId="0" applyFont="1" applyBorder="1"/>
    <xf numFmtId="0" fontId="4" fillId="0" borderId="0" xfId="0" applyFont="1"/>
    <xf numFmtId="0" fontId="4" fillId="0" borderId="31" xfId="0" applyFont="1" applyBorder="1" applyAlignment="1">
      <alignment horizontal="left" vertical="top"/>
    </xf>
    <xf numFmtId="10" fontId="0" fillId="0" borderId="0" xfId="0" applyNumberFormat="1"/>
    <xf numFmtId="0" fontId="18" fillId="7" borderId="34" xfId="0" applyFont="1" applyFill="1" applyBorder="1"/>
    <xf numFmtId="4" fontId="5" fillId="8" borderId="7" xfId="0" quotePrefix="1" applyNumberFormat="1" applyFont="1" applyFill="1" applyBorder="1" applyAlignment="1" applyProtection="1">
      <alignment horizontal="left" vertical="top"/>
      <protection hidden="1"/>
    </xf>
    <xf numFmtId="4" fontId="5" fillId="8" borderId="9" xfId="1" quotePrefix="1" applyNumberFormat="1" applyFont="1" applyFill="1" applyBorder="1" applyAlignment="1" applyProtection="1">
      <alignment horizontal="left" vertical="top"/>
      <protection hidden="1"/>
    </xf>
    <xf numFmtId="3" fontId="0" fillId="0" borderId="23" xfId="0" applyNumberFormat="1" applyBorder="1" applyAlignment="1" applyProtection="1">
      <alignment horizontal="left" vertical="top"/>
      <protection hidden="1"/>
    </xf>
    <xf numFmtId="170" fontId="0" fillId="0" borderId="25" xfId="0" applyNumberFormat="1" applyBorder="1" applyAlignment="1" applyProtection="1">
      <alignment horizontal="left" vertical="top"/>
      <protection hidden="1"/>
    </xf>
    <xf numFmtId="0" fontId="4" fillId="0" borderId="11" xfId="0" applyFont="1" applyBorder="1" applyAlignment="1">
      <alignment horizontal="left" vertical="top"/>
    </xf>
    <xf numFmtId="3" fontId="0" fillId="0" borderId="27" xfId="1" applyNumberFormat="1" applyFont="1" applyFill="1" applyBorder="1" applyAlignment="1" applyProtection="1">
      <alignment horizontal="left" vertical="top"/>
      <protection hidden="1"/>
    </xf>
    <xf numFmtId="0" fontId="4" fillId="0" borderId="1" xfId="0" applyFont="1" applyBorder="1" applyAlignment="1">
      <alignment horizontal="left" vertical="top"/>
    </xf>
    <xf numFmtId="3" fontId="14" fillId="0" borderId="1" xfId="0" applyNumberFormat="1" applyFont="1" applyBorder="1" applyAlignment="1" applyProtection="1">
      <alignment horizontal="left" vertical="top"/>
      <protection locked="0"/>
    </xf>
    <xf numFmtId="0" fontId="0" fillId="0" borderId="1" xfId="0" applyBorder="1" applyAlignment="1">
      <alignment horizontal="left" vertical="top"/>
    </xf>
    <xf numFmtId="3" fontId="14" fillId="0" borderId="1" xfId="1" applyNumberFormat="1" applyFont="1" applyFill="1" applyBorder="1" applyAlignment="1" applyProtection="1">
      <alignment horizontal="left" vertical="top"/>
      <protection locked="0"/>
    </xf>
    <xf numFmtId="4" fontId="14" fillId="0" borderId="1" xfId="1" applyNumberFormat="1" applyFont="1" applyFill="1" applyBorder="1" applyAlignment="1" applyProtection="1">
      <alignment horizontal="left" vertical="top"/>
      <protection locked="0"/>
    </xf>
    <xf numFmtId="0" fontId="4" fillId="0" borderId="17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169" fontId="14" fillId="0" borderId="1" xfId="1" applyNumberFormat="1" applyFont="1" applyFill="1" applyBorder="1" applyAlignment="1" applyProtection="1">
      <alignment horizontal="left" vertical="top"/>
      <protection locked="0"/>
    </xf>
    <xf numFmtId="0" fontId="10" fillId="0" borderId="2" xfId="0" applyFont="1" applyBorder="1"/>
    <xf numFmtId="0" fontId="11" fillId="2" borderId="38" xfId="0" applyFont="1" applyFill="1" applyBorder="1" applyAlignment="1">
      <alignment horizontal="left" vertical="center" wrapText="1"/>
    </xf>
    <xf numFmtId="0" fontId="11" fillId="0" borderId="35" xfId="0" applyFont="1" applyBorder="1" applyAlignment="1">
      <alignment horizontal="left" vertical="center" wrapText="1"/>
    </xf>
    <xf numFmtId="0" fontId="11" fillId="2" borderId="35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167" fontId="4" fillId="0" borderId="32" xfId="0" quotePrefix="1" applyNumberFormat="1" applyFont="1" applyBorder="1" applyAlignment="1" applyProtection="1">
      <alignment horizontal="left" vertical="top" wrapText="1"/>
      <protection hidden="1"/>
    </xf>
    <xf numFmtId="0" fontId="4" fillId="0" borderId="0" xfId="0" applyFont="1" applyAlignment="1">
      <alignment horizontal="left" vertical="top"/>
    </xf>
    <xf numFmtId="167" fontId="4" fillId="0" borderId="0" xfId="0" quotePrefix="1" applyNumberFormat="1" applyFont="1" applyAlignment="1" applyProtection="1">
      <alignment horizontal="left" vertical="top" wrapText="1"/>
      <protection hidden="1"/>
    </xf>
    <xf numFmtId="0" fontId="5" fillId="0" borderId="0" xfId="0" applyFont="1" applyAlignment="1">
      <alignment horizontal="left" vertical="top"/>
    </xf>
    <xf numFmtId="3" fontId="0" fillId="0" borderId="0" xfId="1" applyNumberFormat="1" applyFont="1" applyFill="1" applyBorder="1" applyAlignment="1" applyProtection="1">
      <alignment horizontal="left" vertical="top"/>
      <protection hidden="1"/>
    </xf>
    <xf numFmtId="0" fontId="4" fillId="8" borderId="22" xfId="0" applyFont="1" applyFill="1" applyBorder="1" applyAlignment="1">
      <alignment horizontal="left" vertical="top"/>
    </xf>
    <xf numFmtId="0" fontId="4" fillId="8" borderId="17" xfId="0" applyFont="1" applyFill="1" applyBorder="1" applyAlignment="1">
      <alignment horizontal="left" vertical="top"/>
    </xf>
    <xf numFmtId="4" fontId="4" fillId="8" borderId="23" xfId="0" quotePrefix="1" applyNumberFormat="1" applyFont="1" applyFill="1" applyBorder="1" applyAlignment="1" applyProtection="1">
      <alignment horizontal="left" vertical="top"/>
      <protection hidden="1"/>
    </xf>
    <xf numFmtId="0" fontId="4" fillId="8" borderId="24" xfId="0" applyFont="1" applyFill="1" applyBorder="1" applyAlignment="1">
      <alignment horizontal="left" vertical="top" wrapText="1"/>
    </xf>
    <xf numFmtId="0" fontId="4" fillId="8" borderId="1" xfId="0" applyFont="1" applyFill="1" applyBorder="1" applyAlignment="1">
      <alignment horizontal="left" vertical="top"/>
    </xf>
    <xf numFmtId="4" fontId="4" fillId="8" borderId="25" xfId="0" quotePrefix="1" applyNumberFormat="1" applyFont="1" applyFill="1" applyBorder="1" applyAlignment="1" applyProtection="1">
      <alignment horizontal="left" vertical="top"/>
      <protection hidden="1"/>
    </xf>
    <xf numFmtId="0" fontId="4" fillId="8" borderId="26" xfId="0" applyFont="1" applyFill="1" applyBorder="1" applyAlignment="1">
      <alignment horizontal="left" vertical="top" wrapText="1"/>
    </xf>
    <xf numFmtId="0" fontId="4" fillId="8" borderId="20" xfId="0" applyFont="1" applyFill="1" applyBorder="1" applyAlignment="1">
      <alignment horizontal="left" vertical="top"/>
    </xf>
    <xf numFmtId="4" fontId="4" fillId="8" borderId="27" xfId="0" quotePrefix="1" applyNumberFormat="1" applyFont="1" applyFill="1" applyBorder="1" applyAlignment="1" applyProtection="1">
      <alignment horizontal="left" vertical="top"/>
      <protection hidden="1"/>
    </xf>
    <xf numFmtId="0" fontId="21" fillId="0" borderId="0" xfId="0" applyFont="1"/>
    <xf numFmtId="0" fontId="21" fillId="0" borderId="1" xfId="0" applyFont="1" applyBorder="1"/>
    <xf numFmtId="3" fontId="4" fillId="0" borderId="1" xfId="1" applyNumberFormat="1" applyFont="1" applyFill="1" applyBorder="1" applyAlignment="1" applyProtection="1">
      <alignment horizontal="left" vertical="top"/>
      <protection locked="0" hidden="1"/>
    </xf>
    <xf numFmtId="3" fontId="4" fillId="0" borderId="1" xfId="1" applyNumberFormat="1" applyFont="1" applyFill="1" applyBorder="1" applyAlignment="1" applyProtection="1">
      <alignment horizontal="left" vertical="top"/>
      <protection hidden="1"/>
    </xf>
    <xf numFmtId="0" fontId="21" fillId="0" borderId="0" xfId="0" quotePrefix="1" applyFont="1"/>
    <xf numFmtId="0" fontId="22" fillId="0" borderId="0" xfId="0" applyFont="1"/>
    <xf numFmtId="0" fontId="25" fillId="0" borderId="0" xfId="0" applyFont="1"/>
    <xf numFmtId="10" fontId="14" fillId="0" borderId="1" xfId="2" applyNumberFormat="1" applyFont="1" applyFill="1" applyBorder="1" applyAlignment="1" applyProtection="1">
      <alignment horizontal="left" vertical="top"/>
      <protection hidden="1"/>
    </xf>
    <xf numFmtId="0" fontId="0" fillId="0" borderId="1" xfId="0" applyBorder="1" applyAlignment="1" applyProtection="1">
      <alignment horizontal="left" vertical="top"/>
      <protection locked="0"/>
    </xf>
    <xf numFmtId="0" fontId="21" fillId="8" borderId="7" xfId="0" applyFont="1" applyFill="1" applyBorder="1" applyAlignment="1">
      <alignment horizontal="left" vertical="top"/>
    </xf>
    <xf numFmtId="0" fontId="21" fillId="8" borderId="9" xfId="0" applyFont="1" applyFill="1" applyBorder="1" applyAlignment="1">
      <alignment horizontal="left" vertical="top"/>
    </xf>
    <xf numFmtId="0" fontId="15" fillId="0" borderId="0" xfId="0" quotePrefix="1" applyFont="1"/>
    <xf numFmtId="0" fontId="30" fillId="0" borderId="0" xfId="0" applyFont="1"/>
    <xf numFmtId="0" fontId="27" fillId="0" borderId="1" xfId="0" applyFont="1" applyBorder="1" applyAlignment="1">
      <alignment horizontal="center" vertical="center" wrapText="1"/>
    </xf>
    <xf numFmtId="0" fontId="21" fillId="0" borderId="1" xfId="0" quotePrefix="1" applyFont="1" applyBorder="1"/>
    <xf numFmtId="0" fontId="13" fillId="0" borderId="0" xfId="5" applyFont="1"/>
    <xf numFmtId="0" fontId="2" fillId="0" borderId="0" xfId="5"/>
    <xf numFmtId="0" fontId="2" fillId="0" borderId="0" xfId="5" quotePrefix="1"/>
    <xf numFmtId="10" fontId="0" fillId="0" borderId="0" xfId="6" applyNumberFormat="1" applyFont="1"/>
    <xf numFmtId="0" fontId="13" fillId="0" borderId="0" xfId="5" applyFont="1" applyAlignment="1">
      <alignment wrapText="1"/>
    </xf>
    <xf numFmtId="0" fontId="2" fillId="0" borderId="0" xfId="5" applyAlignment="1">
      <alignment horizontal="center"/>
    </xf>
    <xf numFmtId="1" fontId="2" fillId="0" borderId="0" xfId="5" applyNumberFormat="1" applyAlignment="1">
      <alignment horizontal="center"/>
    </xf>
    <xf numFmtId="0" fontId="1" fillId="0" borderId="0" xfId="5" applyFont="1"/>
    <xf numFmtId="0" fontId="22" fillId="0" borderId="0" xfId="0" applyFont="1" applyAlignment="1">
      <alignment wrapText="1"/>
    </xf>
    <xf numFmtId="0" fontId="18" fillId="7" borderId="34" xfId="0" applyFont="1" applyFill="1" applyBorder="1" applyAlignment="1">
      <alignment vertical="top"/>
    </xf>
    <xf numFmtId="0" fontId="18" fillId="7" borderId="37" xfId="0" applyFont="1" applyFill="1" applyBorder="1" applyAlignment="1">
      <alignment vertical="top"/>
    </xf>
    <xf numFmtId="0" fontId="18" fillId="7" borderId="36" xfId="0" applyFont="1" applyFill="1" applyBorder="1" applyAlignment="1">
      <alignment vertical="top"/>
    </xf>
    <xf numFmtId="0" fontId="21" fillId="0" borderId="1" xfId="0" applyFont="1" applyBorder="1" applyAlignment="1">
      <alignment horizontal="left" vertical="top"/>
    </xf>
    <xf numFmtId="0" fontId="21" fillId="0" borderId="1" xfId="0" applyFont="1" applyBorder="1" applyAlignment="1" applyProtection="1">
      <alignment horizontal="left" vertical="top"/>
      <protection locked="0"/>
    </xf>
    <xf numFmtId="0" fontId="21" fillId="0" borderId="1" xfId="0" applyFont="1" applyBorder="1" applyAlignment="1">
      <alignment horizontal="left" vertical="top" wrapText="1"/>
    </xf>
    <xf numFmtId="0" fontId="18" fillId="7" borderId="34" xfId="0" applyFont="1" applyFill="1" applyBorder="1" applyAlignment="1">
      <alignment horizontal="left" vertical="top"/>
    </xf>
    <xf numFmtId="0" fontId="18" fillId="7" borderId="37" xfId="0" applyFont="1" applyFill="1" applyBorder="1" applyAlignment="1">
      <alignment horizontal="left" vertical="top"/>
    </xf>
    <xf numFmtId="0" fontId="19" fillId="6" borderId="3" xfId="0" applyFont="1" applyFill="1" applyBorder="1" applyAlignment="1">
      <alignment horizontal="center" wrapText="1"/>
    </xf>
    <xf numFmtId="0" fontId="19" fillId="6" borderId="4" xfId="0" applyFont="1" applyFill="1" applyBorder="1" applyAlignment="1">
      <alignment horizontal="center" wrapText="1"/>
    </xf>
    <xf numFmtId="0" fontId="19" fillId="6" borderId="10" xfId="0" applyFont="1" applyFill="1" applyBorder="1" applyAlignment="1">
      <alignment horizontal="center" wrapText="1"/>
    </xf>
    <xf numFmtId="0" fontId="4" fillId="9" borderId="3" xfId="0" applyFont="1" applyFill="1" applyBorder="1" applyAlignment="1">
      <alignment horizontal="center" wrapText="1"/>
    </xf>
    <xf numFmtId="0" fontId="4" fillId="9" borderId="4" xfId="0" applyFont="1" applyFill="1" applyBorder="1" applyAlignment="1">
      <alignment horizontal="center" wrapText="1"/>
    </xf>
    <xf numFmtId="0" fontId="4" fillId="9" borderId="10" xfId="0" applyFont="1" applyFill="1" applyBorder="1" applyAlignment="1">
      <alignment horizontal="center" wrapText="1"/>
    </xf>
    <xf numFmtId="0" fontId="2" fillId="0" borderId="0" xfId="5" applyAlignment="1">
      <alignment horizontal="center"/>
    </xf>
    <xf numFmtId="0" fontId="3" fillId="0" borderId="0" xfId="4" applyAlignment="1">
      <alignment horizontal="left" vertical="top" wrapText="1"/>
    </xf>
    <xf numFmtId="0" fontId="4" fillId="0" borderId="1" xfId="3" applyBorder="1" applyAlignment="1">
      <alignment horizontal="left" vertical="top"/>
    </xf>
    <xf numFmtId="0" fontId="5" fillId="0" borderId="3" xfId="4" applyFont="1" applyBorder="1" applyAlignment="1">
      <alignment horizontal="left"/>
    </xf>
    <xf numFmtId="0" fontId="5" fillId="0" borderId="4" xfId="4" applyFont="1" applyBorder="1" applyAlignment="1">
      <alignment horizontal="left"/>
    </xf>
    <xf numFmtId="0" fontId="5" fillId="0" borderId="10" xfId="4" applyFont="1" applyBorder="1" applyAlignment="1">
      <alignment horizontal="left"/>
    </xf>
    <xf numFmtId="0" fontId="5" fillId="0" borderId="3" xfId="3" applyFont="1" applyBorder="1" applyAlignment="1">
      <alignment horizontal="left" vertical="top"/>
    </xf>
    <xf numFmtId="0" fontId="5" fillId="0" borderId="4" xfId="3" applyFont="1" applyBorder="1" applyAlignment="1">
      <alignment horizontal="left" vertical="top"/>
    </xf>
    <xf numFmtId="0" fontId="5" fillId="0" borderId="10" xfId="3" applyFont="1" applyBorder="1" applyAlignment="1">
      <alignment horizontal="left" vertical="top"/>
    </xf>
    <xf numFmtId="0" fontId="4" fillId="0" borderId="2" xfId="3" applyBorder="1" applyAlignment="1">
      <alignment horizontal="left" vertical="top"/>
    </xf>
    <xf numFmtId="0" fontId="5" fillId="0" borderId="33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</cellXfs>
  <cellStyles count="7">
    <cellStyle name="Comma" xfId="1" builtinId="3"/>
    <cellStyle name="Normal" xfId="0" builtinId="0"/>
    <cellStyle name="Normal 2" xfId="3" xr:uid="{6A072918-5DC8-40A1-9F0B-4C2A2A97C3E0}"/>
    <cellStyle name="Normal 3" xfId="4" xr:uid="{4AC3712B-7B2C-425B-BCE9-E1D9BBDE6AEB}"/>
    <cellStyle name="Normal 4" xfId="5" xr:uid="{B0CE8A07-5AE0-400A-9BAE-BBAAC14C5D33}"/>
    <cellStyle name="Per cent" xfId="2" builtinId="5"/>
    <cellStyle name="Per cent 2" xfId="6" xr:uid="{C78679A2-8B36-46C7-B863-7B05410FA85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XX</a:t>
            </a:r>
            <a:r>
              <a:rPr lang="en-GB" baseline="0"/>
              <a:t> Minutes</a:t>
            </a:r>
            <a:r>
              <a:rPr lang="en-GB"/>
              <a:t> Modulus / Temperature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9.7598838106932942E-2"/>
          <c:y val="2.8279783275638324E-2"/>
          <c:w val="0.88535440531966858"/>
          <c:h val="0.80432267034254568"/>
        </c:manualLayout>
      </c:layout>
      <c:scatterChart>
        <c:scatterStyle val="lineMarker"/>
        <c:varyColors val="0"/>
        <c:ser>
          <c:idx val="0"/>
          <c:order val="0"/>
          <c:tx>
            <c:v>PE100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3883812622741176"/>
                  <c:y val="-0.3324967778525849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'XX Minute,Modulus_Temp'!$E$27:$E$29</c:f>
              <c:numCache>
                <c:formatCode>General</c:formatCode>
                <c:ptCount val="3"/>
                <c:pt idx="0">
                  <c:v>10</c:v>
                </c:pt>
                <c:pt idx="1">
                  <c:v>20</c:v>
                </c:pt>
                <c:pt idx="2">
                  <c:v>25</c:v>
                </c:pt>
              </c:numCache>
            </c:numRef>
          </c:xVal>
          <c:yVal>
            <c:numRef>
              <c:f>'XX Minute,Modulus_Temp'!$F$27:$F$29</c:f>
              <c:numCache>
                <c:formatCode>0</c:formatCode>
                <c:ptCount val="3"/>
                <c:pt idx="0">
                  <c:v>1019.4526376125787</c:v>
                </c:pt>
                <c:pt idx="1">
                  <c:v>711.88837923144388</c:v>
                </c:pt>
                <c:pt idx="2">
                  <c:v>523.54511358212346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C5B-4035-A17F-71139E622EB1}"/>
            </c:ext>
          </c:extLst>
        </c:ser>
        <c:ser>
          <c:idx val="1"/>
          <c:order val="1"/>
          <c:tx>
            <c:v>PE80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4.8929731376473967E-2"/>
                  <c:y val="1.807269612752420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'XX Minute,Modulus_Temp'!$E$32:$E$33</c:f>
              <c:numCache>
                <c:formatCode>General</c:formatCode>
                <c:ptCount val="2"/>
                <c:pt idx="0">
                  <c:v>20</c:v>
                </c:pt>
                <c:pt idx="1">
                  <c:v>25</c:v>
                </c:pt>
              </c:numCache>
            </c:numRef>
          </c:xVal>
          <c:yVal>
            <c:numRef>
              <c:f>'XX Minute,Modulus_Temp'!$F$32:$F$33</c:f>
              <c:numCache>
                <c:formatCode>0</c:formatCode>
                <c:ptCount val="2"/>
                <c:pt idx="0">
                  <c:v>472.98388111422605</c:v>
                </c:pt>
                <c:pt idx="1">
                  <c:v>370.87160126984747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C5B-4035-A17F-71139E622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0974688"/>
        <c:axId val="1000996768"/>
      </c:scatterChart>
      <c:valAx>
        <c:axId val="1000974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Temperature (</a:t>
                </a:r>
                <a:r>
                  <a:rPr lang="en-GB">
                    <a:latin typeface="Arial" panose="020B0604020202020204" pitchFamily="34" charset="0"/>
                    <a:cs typeface="Arial" panose="020B0604020202020204" pitchFamily="34" charset="0"/>
                  </a:rPr>
                  <a:t>°</a:t>
                </a:r>
                <a:r>
                  <a:rPr lang="en-GB"/>
                  <a:t>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0996768"/>
        <c:crosses val="autoZero"/>
        <c:crossBetween val="midCat"/>
      </c:valAx>
      <c:valAx>
        <c:axId val="100099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XX hour Modulus (MPa)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09746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7347806810924718"/>
          <c:y val="0.49451466608534039"/>
          <c:w val="7.8561879189287045E-2"/>
          <c:h val="9.59059128832878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 baseline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580797</xdr:colOff>
      <xdr:row>10</xdr:row>
      <xdr:rowOff>64851</xdr:rowOff>
    </xdr:from>
    <xdr:ext cx="3080892" cy="1188146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D3253F3-5A8A-4165-BBD6-7C0283777D13}"/>
            </a:ext>
          </a:extLst>
        </xdr:cNvPr>
        <xdr:cNvSpPr/>
      </xdr:nvSpPr>
      <xdr:spPr>
        <a:xfrm rot="19518822">
          <a:off x="5105172" y="2979501"/>
          <a:ext cx="3080892" cy="1188146"/>
        </a:xfrm>
        <a:prstGeom prst="rect">
          <a:avLst/>
        </a:prstGeom>
        <a:noFill/>
        <a:effectLst>
          <a:outerShdw blurRad="50800" dist="50800" dir="5400000" algn="ctr" rotWithShape="0">
            <a:srgbClr val="000000">
              <a:alpha val="29000"/>
            </a:srgbClr>
          </a:outerShdw>
        </a:effectLst>
      </xdr:spPr>
      <xdr:txBody>
        <a:bodyPr wrap="square" lIns="91440" tIns="45720" rIns="91440" bIns="45720">
          <a:spAutoFit/>
        </a:bodyPr>
        <a:lstStyle/>
        <a:p>
          <a:pPr algn="ctr"/>
          <a:r>
            <a:rPr lang="en-GB" sz="7000" b="0" cap="none" spc="0">
              <a:ln w="0"/>
              <a:gradFill>
                <a:gsLst>
                  <a:gs pos="21000">
                    <a:srgbClr val="53575C"/>
                  </a:gs>
                  <a:gs pos="88000">
                    <a:srgbClr val="C5C7CA"/>
                  </a:gs>
                </a:gsLst>
                <a:lin ang="5400000"/>
              </a:gradFill>
              <a:effectLst>
                <a:outerShdw blurRad="50800" dist="50800" dir="5400000" algn="ctr" rotWithShape="0">
                  <a:srgbClr val="FF0000"/>
                </a:outerShdw>
              </a:effectLst>
            </a:rPr>
            <a:t>Draft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6835141" y="4229100"/>
    <xdr:ext cx="5570220" cy="621792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FF2FB5B-A947-4F0D-B229-3FA4A3BF87D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910235</xdr:colOff>
      <xdr:row>17</xdr:row>
      <xdr:rowOff>217341</xdr:rowOff>
    </xdr:from>
    <xdr:ext cx="3080892" cy="1188146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2D5E3D2B-CD68-F746-7E0A-B9B36F06D5FE}"/>
            </a:ext>
          </a:extLst>
        </xdr:cNvPr>
        <xdr:cNvSpPr/>
      </xdr:nvSpPr>
      <xdr:spPr>
        <a:xfrm rot="19518822">
          <a:off x="6070064" y="3602798"/>
          <a:ext cx="3080892" cy="118814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GB" sz="7000" b="0" cap="none" spc="0">
              <a:ln w="0"/>
              <a:gradFill>
                <a:gsLst>
                  <a:gs pos="21000">
                    <a:srgbClr val="53575C"/>
                  </a:gs>
                  <a:gs pos="88000">
                    <a:srgbClr val="C5C7CA"/>
                  </a:gs>
                </a:gsLst>
                <a:lin ang="5400000"/>
              </a:gradFill>
              <a:effectLst>
                <a:outerShdw blurRad="50800" dist="50800" dir="5400000" algn="ctr" rotWithShape="0">
                  <a:srgbClr val="FF0000"/>
                </a:outerShdw>
              </a:effectLst>
            </a:rPr>
            <a:t>Draft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pfpipesgroup-my.sharepoint.com/personal/admin_bpfpipesgroup_com/Documents/Shared%20Folders/!S001%20Standards%20development/Development/!WIS/WIS%204-01-03/Calculator/2026-04-02_CalculatorForWIS.xlsx" TargetMode="External"/><Relationship Id="rId1" Type="http://schemas.openxmlformats.org/officeDocument/2006/relationships/externalLinkPath" Target="https://uuplc-my.sharepoint.com/personal/admin_bpfpipesgroup_com/Documents/Shared%20Folders/!S001%20Standards%20development/Development/!WIS/WIS%204-01-03/Calculator/2026-04-02_CalculatorForW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surationVolFreeText "/>
      <sheetName val="Pressuration Vol_12201_MinWall"/>
      <sheetName val="Test"/>
      <sheetName val="DCL Material Equations"/>
      <sheetName val="Data"/>
      <sheetName val="Compare_Diff_StartP_same_DP"/>
      <sheetName val="WallThickness12201-2"/>
      <sheetName val="PE 80-100 MInMaxSDRW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B10">
            <v>3.7058823529411765E-3</v>
          </cell>
        </row>
        <row r="11">
          <cell r="B11">
            <v>3.8E-3</v>
          </cell>
        </row>
        <row r="12">
          <cell r="B12">
            <v>4.3E-3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FDEA-45E0-46B5-9479-2550038FA9FA}">
  <dimension ref="A1:R56"/>
  <sheetViews>
    <sheetView tabSelected="1" workbookViewId="0">
      <selection activeCell="C3" sqref="C3"/>
    </sheetView>
  </sheetViews>
  <sheetFormatPr defaultRowHeight="12.75" x14ac:dyDescent="0.35"/>
  <cols>
    <col min="1" max="1" width="32" customWidth="1"/>
    <col min="2" max="2" width="14.265625" customWidth="1"/>
    <col min="3" max="3" width="16.59765625" customWidth="1"/>
    <col min="4" max="4" width="23" customWidth="1"/>
    <col min="5" max="5" width="3.265625" customWidth="1"/>
    <col min="6" max="6" width="37.59765625" customWidth="1"/>
    <col min="7" max="7" width="17.265625" customWidth="1"/>
    <col min="8" max="8" width="17.1328125" customWidth="1"/>
    <col min="9" max="9" width="10.265625" customWidth="1"/>
    <col min="10" max="10" width="16.73046875" customWidth="1"/>
    <col min="11" max="11" width="24.265625" customWidth="1"/>
    <col min="12" max="12" width="12.73046875" customWidth="1"/>
    <col min="13" max="13" width="11" customWidth="1"/>
    <col min="14" max="14" width="11.59765625" customWidth="1"/>
    <col min="15" max="16" width="6.59765625" customWidth="1"/>
    <col min="17" max="17" width="4.59765625" customWidth="1"/>
    <col min="18" max="18" width="15.1328125" bestFit="1" customWidth="1"/>
    <col min="20" max="25" width="10.59765625" bestFit="1" customWidth="1"/>
  </cols>
  <sheetData>
    <row r="1" spans="1:10" ht="13.5" thickBot="1" x14ac:dyDescent="0.4">
      <c r="A1" s="194" t="s">
        <v>67</v>
      </c>
      <c r="B1" s="195"/>
      <c r="C1" s="195"/>
      <c r="F1" s="153" t="s">
        <v>60</v>
      </c>
      <c r="G1" s="151"/>
      <c r="H1" s="152"/>
    </row>
    <row r="2" spans="1:10" ht="63.75" x14ac:dyDescent="0.35">
      <c r="A2" s="193" t="s">
        <v>130</v>
      </c>
      <c r="B2" s="191" t="s">
        <v>70</v>
      </c>
      <c r="C2" s="172">
        <v>10</v>
      </c>
      <c r="D2" s="187" t="s">
        <v>128</v>
      </c>
      <c r="E2" s="169"/>
      <c r="F2" s="155" t="s">
        <v>48</v>
      </c>
      <c r="G2" s="156" t="s">
        <v>57</v>
      </c>
      <c r="H2" s="157">
        <f>IFERROR(PI()*(C17-WallT_min)^2*length*1000,"OD/SDR Incorrect")</f>
        <v>735.93692865933053</v>
      </c>
    </row>
    <row r="3" spans="1:10" ht="63.75" x14ac:dyDescent="0.35">
      <c r="A3" s="191" t="s">
        <v>131</v>
      </c>
      <c r="B3" s="191" t="s">
        <v>82</v>
      </c>
      <c r="C3" s="172">
        <v>15</v>
      </c>
      <c r="D3" s="187" t="s">
        <v>129</v>
      </c>
      <c r="E3" s="169"/>
      <c r="F3" s="158" t="str">
        <f>"Max content of air in litres to deliver a valid test for start pressure: "&amp;C13&amp;" bar absolute"</f>
        <v>Max content of air in litres to deliver a valid test for start pressure: 2 bar absolute</v>
      </c>
      <c r="G3" s="159" t="s">
        <v>57</v>
      </c>
      <c r="H3" s="160">
        <f>C15*H2</f>
        <v>14.718738573186611</v>
      </c>
    </row>
    <row r="4" spans="1:10" ht="25.9" thickBot="1" x14ac:dyDescent="0.4">
      <c r="A4" s="139" t="s">
        <v>68</v>
      </c>
      <c r="B4" s="191" t="s">
        <v>46</v>
      </c>
      <c r="C4" s="192" t="s">
        <v>16</v>
      </c>
      <c r="D4" s="169" t="s">
        <v>125</v>
      </c>
      <c r="E4" s="169"/>
      <c r="F4" s="161" t="s">
        <v>73</v>
      </c>
      <c r="G4" s="162" t="s">
        <v>57</v>
      </c>
      <c r="H4" s="163">
        <f>H2-H3</f>
        <v>721.21819008614398</v>
      </c>
    </row>
    <row r="5" spans="1:10" ht="85.15" customHeight="1" x14ac:dyDescent="0.35">
      <c r="A5" s="193" t="s">
        <v>78</v>
      </c>
      <c r="B5" s="167" t="s">
        <v>127</v>
      </c>
      <c r="C5" s="166"/>
      <c r="D5" s="187" t="s">
        <v>124</v>
      </c>
      <c r="E5" s="169"/>
    </row>
    <row r="6" spans="1:10" ht="51" x14ac:dyDescent="0.35">
      <c r="A6" s="149" t="s">
        <v>126</v>
      </c>
      <c r="B6" s="167" t="s">
        <v>127</v>
      </c>
      <c r="C6" s="167">
        <f>IF(AND(C5=0,C4="PE100"),('DCLPE100 ModPerMinute'!D42)*10^6,IF(AND(C5=0,C4="PE80"),('DCLPE80 ModPerMinute'!D42)*10^6,C5))</f>
        <v>1170600000</v>
      </c>
      <c r="D6" s="127"/>
      <c r="E6" s="127"/>
    </row>
    <row r="7" spans="1:10" ht="13.5" thickBot="1" x14ac:dyDescent="0.4">
      <c r="D7" s="127"/>
      <c r="E7" s="127"/>
      <c r="F7" s="153" t="s">
        <v>61</v>
      </c>
      <c r="G7" s="151"/>
      <c r="H7" s="152"/>
    </row>
    <row r="8" spans="1:10" ht="13.15" x14ac:dyDescent="0.35">
      <c r="A8" s="188" t="s">
        <v>41</v>
      </c>
      <c r="B8" s="189" t="s">
        <v>42</v>
      </c>
      <c r="C8" s="190" t="s">
        <v>43</v>
      </c>
      <c r="D8" s="127"/>
      <c r="E8" s="127"/>
      <c r="F8" s="173" t="s">
        <v>33</v>
      </c>
      <c r="G8" s="173" t="s">
        <v>57</v>
      </c>
      <c r="H8" s="131">
        <f>IFERROR(H2*C16*((C18^-1+(SDR-2)/C6)),"OD/SDR Incorrect")</f>
        <v>12.726020353311386</v>
      </c>
      <c r="I8" s="5"/>
      <c r="J8" s="1"/>
    </row>
    <row r="9" spans="1:10" ht="13.5" thickBot="1" x14ac:dyDescent="0.4">
      <c r="A9" s="137" t="s">
        <v>81</v>
      </c>
      <c r="B9" s="137" t="s">
        <v>44</v>
      </c>
      <c r="C9" s="138">
        <v>110</v>
      </c>
      <c r="D9" s="169" t="s">
        <v>125</v>
      </c>
      <c r="E9" s="169"/>
      <c r="F9" s="174" t="str">
        <f>"Pressurisation Volume with"&amp;" "&amp;TEXT(PressurisationAuto!C15,"0.00%")&amp;" air"</f>
        <v>Pressurisation Volume with 2.00% air</v>
      </c>
      <c r="G9" s="174" t="s">
        <v>57</v>
      </c>
      <c r="H9" s="132">
        <f>IFERROR(H8+H2*C15*(1-startP/endP),"OD/SDR Incorrect")</f>
        <v>25.482260450073113</v>
      </c>
    </row>
    <row r="10" spans="1:10" ht="13.5" x14ac:dyDescent="0.35">
      <c r="A10" s="139" t="s">
        <v>0</v>
      </c>
      <c r="B10" s="137" t="s">
        <v>46</v>
      </c>
      <c r="C10" s="144">
        <v>17</v>
      </c>
      <c r="D10" s="169" t="s">
        <v>125</v>
      </c>
      <c r="E10" s="169"/>
      <c r="I10" s="175"/>
    </row>
    <row r="11" spans="1:10" x14ac:dyDescent="0.35">
      <c r="A11" s="137" t="s">
        <v>26</v>
      </c>
      <c r="B11" s="137" t="s">
        <v>54</v>
      </c>
      <c r="C11" s="140">
        <v>100</v>
      </c>
      <c r="D11" s="169" t="s">
        <v>75</v>
      </c>
      <c r="E11" s="169"/>
    </row>
    <row r="12" spans="1:10" hidden="1" x14ac:dyDescent="0.35">
      <c r="A12" s="128" t="s">
        <v>47</v>
      </c>
      <c r="B12" s="135" t="s">
        <v>55</v>
      </c>
      <c r="C12" s="150">
        <f>IF(INDEX(WallThickness!$B$6:$L$41,MATCH($C9,WallThickness!$B$6:$B$41,0),MATCH(SDR,WallThickness!B3:L3,0))/1000&lt;&gt;0,INDEX(WallThickness!$B$6:$L$41,MATCH($C9,WallThickness!$B$6:$B$41,0),MATCH(SDR,WallThickness!B3:L3,0))/1000,"OD/SDR combo not possible")</f>
        <v>6.6E-3</v>
      </c>
      <c r="D12" s="169" t="s">
        <v>122</v>
      </c>
      <c r="E12" s="169"/>
    </row>
    <row r="13" spans="1:10" x14ac:dyDescent="0.35">
      <c r="A13" s="137" t="s">
        <v>51</v>
      </c>
      <c r="B13" s="137" t="s">
        <v>50</v>
      </c>
      <c r="C13" s="141">
        <v>2</v>
      </c>
      <c r="D13" s="169" t="s">
        <v>75</v>
      </c>
      <c r="E13" s="169"/>
    </row>
    <row r="14" spans="1:10" x14ac:dyDescent="0.35">
      <c r="A14" s="137" t="s">
        <v>52</v>
      </c>
      <c r="B14" s="137" t="s">
        <v>50</v>
      </c>
      <c r="C14" s="141">
        <v>15</v>
      </c>
      <c r="D14" s="169" t="s">
        <v>75</v>
      </c>
      <c r="E14" s="169"/>
    </row>
    <row r="15" spans="1:10" ht="30.75" customHeight="1" x14ac:dyDescent="0.35">
      <c r="A15" s="149" t="str">
        <f>"Max air content to deliver a valid test for start pressure: "&amp;C13&amp;" bar absolute"</f>
        <v>Max air content to deliver a valid test for start pressure: 2 bar absolute</v>
      </c>
      <c r="B15" s="137"/>
      <c r="C15" s="171">
        <f>4%*(1/startP)</f>
        <v>0.02</v>
      </c>
      <c r="D15" s="169" t="s">
        <v>76</v>
      </c>
      <c r="E15" s="169"/>
    </row>
    <row r="16" spans="1:10" ht="40.9" hidden="1" customHeight="1" x14ac:dyDescent="0.35">
      <c r="A16" s="39" t="s">
        <v>53</v>
      </c>
      <c r="B16" s="142" t="s">
        <v>45</v>
      </c>
      <c r="C16" s="133">
        <f>(C14-C13)*10^5</f>
        <v>1300000</v>
      </c>
      <c r="D16" s="127" t="s">
        <v>123</v>
      </c>
      <c r="E16" s="127"/>
    </row>
    <row r="17" spans="1:12" ht="31.15" hidden="1" customHeight="1" x14ac:dyDescent="0.35">
      <c r="A17" s="41" t="s">
        <v>49</v>
      </c>
      <c r="B17" s="137" t="s">
        <v>55</v>
      </c>
      <c r="C17" s="134">
        <f>C9/(2*1000)</f>
        <v>5.5E-2</v>
      </c>
      <c r="D17" s="127" t="s">
        <v>123</v>
      </c>
      <c r="E17" s="127"/>
    </row>
    <row r="18" spans="1:12" ht="13.15" hidden="1" thickBot="1" x14ac:dyDescent="0.4">
      <c r="A18" s="44" t="s">
        <v>37</v>
      </c>
      <c r="B18" s="143" t="s">
        <v>45</v>
      </c>
      <c r="C18" s="136">
        <v>2050000000</v>
      </c>
      <c r="D18" s="127" t="s">
        <v>123</v>
      </c>
      <c r="E18" s="127"/>
    </row>
    <row r="19" spans="1:12" x14ac:dyDescent="0.35">
      <c r="A19" s="151"/>
      <c r="B19" s="151"/>
      <c r="C19" s="154"/>
    </row>
    <row r="20" spans="1:12" ht="18.399999999999999" customHeight="1" x14ac:dyDescent="0.5">
      <c r="D20" s="127"/>
      <c r="E20" s="127"/>
      <c r="L20" s="176"/>
    </row>
    <row r="21" spans="1:12" ht="18.399999999999999" customHeight="1" x14ac:dyDescent="0.35">
      <c r="D21" s="127"/>
      <c r="E21" s="127"/>
    </row>
    <row r="22" spans="1:12" ht="37.9" customHeight="1" x14ac:dyDescent="0.35"/>
    <row r="25" spans="1:12" ht="19.7" customHeight="1" x14ac:dyDescent="0.35"/>
    <row r="27" spans="1:12" ht="24.4" customHeight="1" x14ac:dyDescent="0.35"/>
    <row r="31" spans="1:12" ht="16.5" customHeight="1" x14ac:dyDescent="0.35">
      <c r="C31" s="168"/>
    </row>
    <row r="32" spans="1:12" ht="45.95" customHeight="1" x14ac:dyDescent="0.35"/>
    <row r="33" ht="16.5" customHeight="1" x14ac:dyDescent="0.35"/>
    <row r="34" ht="16.5" customHeight="1" x14ac:dyDescent="0.35"/>
    <row r="35" ht="16.5" customHeight="1" x14ac:dyDescent="0.35"/>
    <row r="36" ht="16.5" customHeight="1" x14ac:dyDescent="0.35"/>
    <row r="37" ht="16.5" customHeight="1" x14ac:dyDescent="0.35"/>
    <row r="38" ht="16.5" customHeight="1" x14ac:dyDescent="0.35"/>
    <row r="39" ht="16.5" customHeight="1" x14ac:dyDescent="0.35"/>
    <row r="40" ht="16.5" customHeight="1" x14ac:dyDescent="0.35"/>
    <row r="41" ht="16.5" customHeight="1" x14ac:dyDescent="0.35"/>
    <row r="42" ht="16.5" customHeight="1" x14ac:dyDescent="0.35"/>
    <row r="43" ht="16.5" customHeight="1" x14ac:dyDescent="0.35"/>
    <row r="44" ht="16.5" customHeight="1" x14ac:dyDescent="0.35"/>
    <row r="45" ht="16.5" customHeight="1" x14ac:dyDescent="0.35"/>
    <row r="46" ht="16.5" customHeight="1" x14ac:dyDescent="0.35"/>
    <row r="47" ht="16.5" customHeight="1" x14ac:dyDescent="0.35"/>
    <row r="48" ht="16.5" customHeight="1" x14ac:dyDescent="0.35"/>
    <row r="49" spans="3:18" ht="16.5" customHeight="1" x14ac:dyDescent="0.35"/>
    <row r="50" spans="3:18" x14ac:dyDescent="0.35">
      <c r="R50" s="3"/>
    </row>
    <row r="51" spans="3:18" x14ac:dyDescent="0.35">
      <c r="R51" s="3"/>
    </row>
    <row r="52" spans="3:18" x14ac:dyDescent="0.35">
      <c r="R52" s="3"/>
    </row>
    <row r="53" spans="3:18" x14ac:dyDescent="0.35">
      <c r="R53" s="3"/>
    </row>
    <row r="56" spans="3:18" x14ac:dyDescent="0.35">
      <c r="C56" s="32"/>
      <c r="D56" s="32"/>
      <c r="E56" s="32"/>
      <c r="F56" s="32"/>
      <c r="G56" s="32"/>
      <c r="H56" s="32"/>
      <c r="I56" s="32"/>
      <c r="J56" s="33"/>
    </row>
  </sheetData>
  <sheetProtection algorithmName="SHA-512" hashValue="SKk0YjMBIVzWg6AM9wlrCKF0GgnJQ7p7rnnRiuEqUdgkedUac+2CBr7NT4dJLtXgTqpieX+SSZMEVVtzeW4hBg==" saltValue="6VoLf6uHg0S9hTI1Km9tXw==" spinCount="100000" sheet="1" objects="1" scenarios="1"/>
  <mergeCells count="1">
    <mergeCell ref="A1:C1"/>
  </mergeCells>
  <dataValidations count="2">
    <dataValidation type="decimal" operator="lessThanOrEqual" allowBlank="1" showInputMessage="1" showErrorMessage="1" errorTitle="Temperature above 20°C" error="Temperature must be equal or less than 20°C" sqref="C2" xr:uid="{C9DDDCC3-6ADE-4261-87E9-1237DEF197E3}">
      <formula1>20</formula1>
    </dataValidation>
    <dataValidation type="whole" allowBlank="1" showInputMessage="1" showErrorMessage="1" errorTitle="Ramp up time above 30 " error="The maximum ramp up time is 30 minutes" sqref="C3" xr:uid="{513A927A-1273-4326-B3F7-E098192CE87A}">
      <formula1>1</formula1>
      <formula2>30</formula2>
    </dataValidation>
  </dataValidations>
  <pageMargins left="0.75" right="0.75" top="1" bottom="1" header="0.5" footer="0.5"/>
  <pageSetup paperSize="9" orientation="portrait" r:id="rId1"/>
  <headerFooter alignWithMargins="0">
    <oddHeader>&amp;C&amp;G</oddHead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F90B4B4-3F11-46F5-A44B-5139E0DD0714}">
          <x14:formula1>
            <xm:f>WallThickness!$C$3:$L$3</xm:f>
          </x14:formula1>
          <xm:sqref>C10</xm:sqref>
        </x14:dataValidation>
        <x14:dataValidation type="list" allowBlank="1" showInputMessage="1" showErrorMessage="1" xr:uid="{BC181EA3-EA08-4C9E-82DD-0B9C8F36F361}">
          <x14:formula1>
            <xm:f>WallThickness!$B$6:$B$41</xm:f>
          </x14:formula1>
          <xm:sqref>C9</xm:sqref>
        </x14:dataValidation>
        <x14:dataValidation type="list" allowBlank="1" showInputMessage="1" showErrorMessage="1" xr:uid="{69BEFBF6-A03C-4DAC-8D32-39D293055FBE}">
          <x14:formula1>
            <xm:f>WallThickness!$O$7:$O$8</xm:f>
          </x14:formula1>
          <xm:sqref>C4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8FF84-6C1B-4F3D-8852-D3E3C3498B58}">
  <dimension ref="A1:P56"/>
  <sheetViews>
    <sheetView workbookViewId="0"/>
  </sheetViews>
  <sheetFormatPr defaultRowHeight="12.75" x14ac:dyDescent="0.35"/>
  <cols>
    <col min="1" max="1" width="38.265625" customWidth="1"/>
    <col min="2" max="3" width="18.3984375" customWidth="1"/>
    <col min="4" max="4" width="25.265625" customWidth="1"/>
    <col min="5" max="5" width="17.265625" customWidth="1"/>
    <col min="6" max="6" width="17.1328125" customWidth="1"/>
    <col min="7" max="7" width="21.86328125" customWidth="1"/>
    <col min="8" max="8" width="16.59765625" customWidth="1"/>
    <col min="9" max="9" width="24.265625" customWidth="1"/>
    <col min="10" max="10" width="12.73046875" customWidth="1"/>
    <col min="11" max="11" width="11" customWidth="1"/>
    <col min="12" max="12" width="11.59765625" customWidth="1"/>
    <col min="13" max="14" width="6.59765625" customWidth="1"/>
    <col min="15" max="15" width="4.59765625" customWidth="1"/>
    <col min="16" max="16" width="15.1328125" bestFit="1" customWidth="1"/>
    <col min="18" max="23" width="10.59765625" bestFit="1" customWidth="1"/>
  </cols>
  <sheetData>
    <row r="1" spans="1:8" x14ac:dyDescent="0.35">
      <c r="A1" s="88" t="s">
        <v>17</v>
      </c>
      <c r="B1" s="89">
        <v>63</v>
      </c>
    </row>
    <row r="2" spans="1:8" x14ac:dyDescent="0.35">
      <c r="A2" s="90" t="s">
        <v>0</v>
      </c>
      <c r="B2" s="91">
        <v>17</v>
      </c>
    </row>
    <row r="3" spans="1:8" x14ac:dyDescent="0.35">
      <c r="A3" s="92" t="s">
        <v>18</v>
      </c>
      <c r="B3" s="93" t="s">
        <v>16</v>
      </c>
    </row>
    <row r="4" spans="1:8" x14ac:dyDescent="0.35">
      <c r="A4" s="92" t="s">
        <v>24</v>
      </c>
      <c r="B4" s="91">
        <v>1000</v>
      </c>
    </row>
    <row r="5" spans="1:8" x14ac:dyDescent="0.35">
      <c r="A5" s="92" t="s">
        <v>23</v>
      </c>
      <c r="B5" s="118">
        <v>0.01</v>
      </c>
      <c r="F5" s="38"/>
      <c r="G5" s="38"/>
    </row>
    <row r="6" spans="1:8" x14ac:dyDescent="0.35">
      <c r="A6" s="94" t="s">
        <v>35</v>
      </c>
      <c r="B6" s="93">
        <v>1</v>
      </c>
    </row>
    <row r="7" spans="1:8" ht="13.15" thickBot="1" x14ac:dyDescent="0.4">
      <c r="A7" s="97" t="s">
        <v>36</v>
      </c>
      <c r="B7" s="98">
        <v>11</v>
      </c>
    </row>
    <row r="8" spans="1:8" x14ac:dyDescent="0.35">
      <c r="A8" s="88" t="s">
        <v>5</v>
      </c>
      <c r="B8" s="99">
        <f>(B7-B6)*10^5</f>
        <v>1000000</v>
      </c>
      <c r="G8" s="5"/>
      <c r="H8" s="1"/>
    </row>
    <row r="9" spans="1:8" x14ac:dyDescent="0.35">
      <c r="A9" s="92" t="s">
        <v>14</v>
      </c>
      <c r="B9" s="100">
        <f>B1/(2*1000)</f>
        <v>3.15E-2</v>
      </c>
    </row>
    <row r="10" spans="1:8" ht="13.15" x14ac:dyDescent="0.35">
      <c r="A10" s="92" t="s">
        <v>22</v>
      </c>
      <c r="B10" s="101">
        <f>(B1/1000)/(SDR)</f>
        <v>3.7058823529411765E-3</v>
      </c>
    </row>
    <row r="11" spans="1:8" ht="29.25" customHeight="1" x14ac:dyDescent="0.35">
      <c r="A11" s="94" t="s">
        <v>38</v>
      </c>
      <c r="B11" s="102">
        <f>IF(INDEX(WallThickness!$B$6:$L$41,MATCH($B1,WallThickness!$B$6:$B$41,0),MATCH(SDR,WallThickness!B3:L3,0))/1000&lt;&gt;0,INDEX(WallThickness!$B$6:$L$41,MATCH($B1,WallThickness!$B$6:$B$41,0),MATCH(SDR,WallThickness!B3:L3,0))/1000,"OD/SDR combo not possible")</f>
        <v>3.8E-3</v>
      </c>
    </row>
    <row r="12" spans="1:8" ht="27" customHeight="1" thickBot="1" x14ac:dyDescent="0.4">
      <c r="A12" s="97" t="s">
        <v>39</v>
      </c>
      <c r="B12" s="103">
        <f>IF(INDEX(WallThickness!B47:L82,MATCH($B1,WallThickness!$B$47:$B$82,0),MATCH(SDR,WallThickness!B44:L44,0))/1000&lt;&gt;0,INDEX(WallThickness!B47:L82,MATCH($B1,WallThickness!$B$47:$B$82,0),MATCH(SDR,WallThickness!B44:L44,0))/1000,"OD/SDR combo not possible")</f>
        <v>4.3E-3</v>
      </c>
    </row>
    <row r="13" spans="1:8" x14ac:dyDescent="0.35">
      <c r="A13" s="95" t="s">
        <v>2</v>
      </c>
      <c r="B13" s="104">
        <f>IF(B3="PE100",860000000,680000000)</f>
        <v>860000000</v>
      </c>
    </row>
    <row r="14" spans="1:8" ht="13.5" thickBot="1" x14ac:dyDescent="0.4">
      <c r="A14" s="96" t="s">
        <v>3</v>
      </c>
      <c r="B14" s="105">
        <v>2050000000</v>
      </c>
      <c r="D14">
        <f>C21/B21</f>
        <v>0.96422473901653916</v>
      </c>
    </row>
    <row r="15" spans="1:8" ht="18.399999999999999" customHeight="1" x14ac:dyDescent="0.35"/>
    <row r="16" spans="1:8" ht="18.399999999999999" customHeight="1" x14ac:dyDescent="0.35"/>
    <row r="17" spans="1:8" ht="18.399999999999999" customHeight="1" thickBot="1" x14ac:dyDescent="0.4"/>
    <row r="18" spans="1:8" ht="25.9" thickBot="1" x14ac:dyDescent="0.4">
      <c r="B18" s="20" t="s">
        <v>19</v>
      </c>
      <c r="C18" s="20" t="s">
        <v>21</v>
      </c>
      <c r="D18" s="120" t="s">
        <v>20</v>
      </c>
    </row>
    <row r="19" spans="1:8" ht="13.15" x14ac:dyDescent="0.35">
      <c r="A19" s="22" t="s">
        <v>15</v>
      </c>
      <c r="B19" s="107">
        <f>IFERROR(PI()*(B9-WallT_min)^2*length*1000,"OD/SDR Incorrect")</f>
        <v>2410.5126271729118</v>
      </c>
      <c r="C19" s="109">
        <f>IFERROR(PI()*(B9-WallT_max)^2*length*1000,"OD/SDR Incorrect")</f>
        <v>2324.275908831873</v>
      </c>
      <c r="D19" s="109">
        <f>PI()*(B9-WallTSDR)^2*length*1000</f>
        <v>2426.9210895086721</v>
      </c>
      <c r="G19" s="19"/>
    </row>
    <row r="20" spans="1:8" ht="13.15" x14ac:dyDescent="0.35">
      <c r="A20" s="23" t="s">
        <v>33</v>
      </c>
      <c r="B20" s="106">
        <f>IFERROR(B19*B8*((B14^-1+(SDR-2)/B13)),"OD/SDR Incorrect")</f>
        <v>43.219684710683914</v>
      </c>
      <c r="C20" s="106">
        <f>IFERROR(C19*B8*((B14^-1+(SDR-2)/B13)),"OD/SDR Incorrect")</f>
        <v>41.673489210536303</v>
      </c>
      <c r="D20" s="106">
        <f>D19*B8*((B14^-1+(SDR-2)/B13))</f>
        <v>43.513882949160028</v>
      </c>
      <c r="G20" s="19"/>
    </row>
    <row r="21" spans="1:8" ht="13.5" thickBot="1" x14ac:dyDescent="0.4">
      <c r="A21" s="24" t="str">
        <f>WallThickness!O9&amp;" "&amp;TEXT('PE 80-100 MInMaxSDRWall'!B5,"#%")&amp;" air"</f>
        <v>Pressurisation Volume with 1% air</v>
      </c>
      <c r="B21" s="108">
        <f>IFERROR(B20+B19*B5*(1-startP/endP),"OD/SDR Incorrect")</f>
        <v>65.133435866801292</v>
      </c>
      <c r="C21" s="108">
        <f>IFERROR(C20+C19*B5*(1-startP/endP),"OD/SDR Incorrect")</f>
        <v>62.803270199916966</v>
      </c>
      <c r="D21" s="108">
        <f>D20+D19*B5*(1-startP/endP)</f>
        <v>65.576801944693415</v>
      </c>
      <c r="G21" s="19"/>
    </row>
    <row r="22" spans="1:8" x14ac:dyDescent="0.35">
      <c r="G22" s="19"/>
    </row>
    <row r="23" spans="1:8" ht="30.4" customHeight="1" thickBot="1" x14ac:dyDescent="0.4">
      <c r="B23" s="212" t="s">
        <v>34</v>
      </c>
      <c r="C23" s="213"/>
      <c r="D23" s="213"/>
      <c r="G23" s="2"/>
    </row>
    <row r="24" spans="1:8" x14ac:dyDescent="0.35">
      <c r="B24" s="39" t="s">
        <v>27</v>
      </c>
      <c r="C24" s="40" t="str">
        <f>B3</f>
        <v>PE100</v>
      </c>
    </row>
    <row r="25" spans="1:8" x14ac:dyDescent="0.35">
      <c r="B25" s="41" t="s">
        <v>0</v>
      </c>
      <c r="C25" s="42">
        <f>SDR</f>
        <v>17</v>
      </c>
    </row>
    <row r="26" spans="1:8" x14ac:dyDescent="0.35">
      <c r="B26" s="41" t="s">
        <v>26</v>
      </c>
      <c r="C26" s="42">
        <v>100</v>
      </c>
    </row>
    <row r="27" spans="1:8" x14ac:dyDescent="0.35">
      <c r="B27" s="43" t="s">
        <v>6</v>
      </c>
      <c r="C27" s="42">
        <f>startP</f>
        <v>1</v>
      </c>
    </row>
    <row r="28" spans="1:8" ht="13.15" thickBot="1" x14ac:dyDescent="0.4">
      <c r="B28" s="44" t="s">
        <v>7</v>
      </c>
      <c r="C28" s="45">
        <f>endP</f>
        <v>11</v>
      </c>
    </row>
    <row r="29" spans="1:8" ht="13.15" thickBot="1" x14ac:dyDescent="0.4"/>
    <row r="30" spans="1:8" ht="16.5" customHeight="1" thickBot="1" x14ac:dyDescent="0.4">
      <c r="A30" s="4"/>
      <c r="B30" s="26"/>
      <c r="C30" s="27"/>
      <c r="D30" s="27"/>
      <c r="E30" s="27" t="s">
        <v>4</v>
      </c>
      <c r="F30" s="27"/>
      <c r="G30" s="28"/>
      <c r="H30" s="25"/>
    </row>
    <row r="31" spans="1:8" ht="45.95" customHeight="1" x14ac:dyDescent="0.35">
      <c r="A31" s="29" t="s">
        <v>1</v>
      </c>
      <c r="B31" s="34">
        <v>0</v>
      </c>
      <c r="C31" s="35">
        <v>1</v>
      </c>
      <c r="D31" s="35">
        <v>2</v>
      </c>
      <c r="E31" s="36">
        <v>3</v>
      </c>
      <c r="F31" s="35">
        <v>4</v>
      </c>
      <c r="G31" s="37">
        <v>5</v>
      </c>
      <c r="H31" s="46" t="s">
        <v>29</v>
      </c>
    </row>
    <row r="32" spans="1:8" ht="16.5" customHeight="1" x14ac:dyDescent="0.35">
      <c r="A32" s="30">
        <v>63</v>
      </c>
      <c r="B32" s="110">
        <f t="shared" ref="B32:B55" si="0">H32*$B$8*($B$14^-1+((SDR-2)/mod))</f>
        <v>43.219684710683914</v>
      </c>
      <c r="C32" s="111">
        <f t="shared" ref="C32:G41" si="1">$B32+$H32*C$31/100*(1-startP/endP)</f>
        <v>65.133435866801292</v>
      </c>
      <c r="D32" s="111">
        <f t="shared" si="1"/>
        <v>87.047187022918678</v>
      </c>
      <c r="E32" s="111">
        <f t="shared" si="1"/>
        <v>108.96093817903605</v>
      </c>
      <c r="F32" s="111">
        <f t="shared" si="1"/>
        <v>130.87468933515345</v>
      </c>
      <c r="G32" s="112">
        <f t="shared" si="1"/>
        <v>152.78844049127079</v>
      </c>
      <c r="H32" s="113">
        <f>PI()*(($A32/(2*1000))-INDEX(WallThickness!$B$6:$L$41,MATCH($A32,WallThickness!$B$6:$B$41,0),MATCH(SDR,WallThickness!$B$3:$L$3,0))/1000)^2*length*1000</f>
        <v>2410.5126271729118</v>
      </c>
    </row>
    <row r="33" spans="1:8" ht="16.5" customHeight="1" x14ac:dyDescent="0.35">
      <c r="A33" s="30">
        <v>75</v>
      </c>
      <c r="B33" s="110">
        <f t="shared" si="0"/>
        <v>61.340870661594451</v>
      </c>
      <c r="C33" s="111">
        <f t="shared" si="1"/>
        <v>92.442637932133408</v>
      </c>
      <c r="D33" s="111">
        <f t="shared" si="1"/>
        <v>123.54440520267237</v>
      </c>
      <c r="E33" s="111">
        <f t="shared" si="1"/>
        <v>154.64617247321132</v>
      </c>
      <c r="F33" s="111">
        <f t="shared" si="1"/>
        <v>185.74793974375029</v>
      </c>
      <c r="G33" s="112">
        <f t="shared" si="1"/>
        <v>216.84970701428927</v>
      </c>
      <c r="H33" s="113">
        <f>PI()*(($A33/(2*1000))-INDEX(WallThickness!$B$6:$L$41,MATCH($A33,WallThickness!$B$6:$B$41,0),MATCH(SDR,WallThickness!$B$3:$L$3,0))/1000)^2*length*1000</f>
        <v>3421.1943997592853</v>
      </c>
    </row>
    <row r="34" spans="1:8" ht="16.5" customHeight="1" x14ac:dyDescent="0.35">
      <c r="A34" s="30">
        <v>90</v>
      </c>
      <c r="B34" s="110">
        <f t="shared" si="0"/>
        <v>88.330853752695973</v>
      </c>
      <c r="C34" s="111">
        <f t="shared" si="1"/>
        <v>133.11739862227205</v>
      </c>
      <c r="D34" s="111">
        <f t="shared" si="1"/>
        <v>177.90394349184811</v>
      </c>
      <c r="E34" s="111">
        <f t="shared" si="1"/>
        <v>222.69048836142417</v>
      </c>
      <c r="F34" s="111">
        <f t="shared" si="1"/>
        <v>267.47703323100029</v>
      </c>
      <c r="G34" s="112">
        <f t="shared" si="1"/>
        <v>312.26357810057635</v>
      </c>
      <c r="H34" s="113">
        <f>PI()*(($A34/(2*1000))-INDEX(WallThickness!$B$6:$L$41,MATCH($A34,WallThickness!$B$6:$B$41,0),MATCH(SDR,WallThickness!$B$3:$L$3,0))/1000)^2*length*1000</f>
        <v>4926.5199356533685</v>
      </c>
    </row>
    <row r="35" spans="1:8" ht="16.5" customHeight="1" x14ac:dyDescent="0.35">
      <c r="A35" s="30">
        <v>110</v>
      </c>
      <c r="B35" s="110">
        <f t="shared" si="0"/>
        <v>131.95102844538536</v>
      </c>
      <c r="C35" s="111">
        <f t="shared" si="1"/>
        <v>198.85438559623358</v>
      </c>
      <c r="D35" s="111">
        <f t="shared" si="1"/>
        <v>265.75774274708181</v>
      </c>
      <c r="E35" s="111">
        <f t="shared" si="1"/>
        <v>332.66109989793006</v>
      </c>
      <c r="F35" s="111">
        <f t="shared" si="1"/>
        <v>399.56445704877825</v>
      </c>
      <c r="G35" s="112">
        <f t="shared" si="1"/>
        <v>466.4678141996265</v>
      </c>
      <c r="H35" s="113">
        <f>PI()*(($A35/(2*1000))-INDEX(WallThickness!$B$6:$L$41,MATCH($A35,WallThickness!$B$6:$B$41,0),MATCH(SDR,WallThickness!$B$3:$L$3,0))/1000)^2*length*1000</f>
        <v>7359.3692865933053</v>
      </c>
    </row>
    <row r="36" spans="1:8" ht="16.5" customHeight="1" x14ac:dyDescent="0.35">
      <c r="A36" s="30">
        <v>125</v>
      </c>
      <c r="B36" s="110">
        <f t="shared" si="0"/>
        <v>171.0114754245246</v>
      </c>
      <c r="C36" s="111">
        <f t="shared" si="1"/>
        <v>257.71971826293503</v>
      </c>
      <c r="D36" s="111">
        <f t="shared" si="1"/>
        <v>344.42796110134543</v>
      </c>
      <c r="E36" s="111">
        <f t="shared" si="1"/>
        <v>431.13620393975589</v>
      </c>
      <c r="F36" s="111">
        <f t="shared" si="1"/>
        <v>517.84444677816623</v>
      </c>
      <c r="G36" s="112">
        <f t="shared" si="1"/>
        <v>604.55268961657657</v>
      </c>
      <c r="H36" s="113">
        <f>PI()*(($A36/(2*1000))-INDEX(WallThickness!$B$6:$L$41,MATCH($A36,WallThickness!$B$6:$B$41,0),MATCH(SDR,WallThickness!$B$3:$L$3,0))/1000)^2*length*1000</f>
        <v>9537.9067122251454</v>
      </c>
    </row>
    <row r="37" spans="1:8" ht="16.5" customHeight="1" x14ac:dyDescent="0.35">
      <c r="A37" s="30">
        <v>140</v>
      </c>
      <c r="B37" s="110">
        <f t="shared" si="0"/>
        <v>214.43337659588369</v>
      </c>
      <c r="C37" s="111">
        <f t="shared" si="1"/>
        <v>323.15790075065144</v>
      </c>
      <c r="D37" s="111">
        <f t="shared" si="1"/>
        <v>431.88242490541916</v>
      </c>
      <c r="E37" s="111">
        <f t="shared" si="1"/>
        <v>540.60694906018693</v>
      </c>
      <c r="F37" s="111">
        <f t="shared" si="1"/>
        <v>649.33147321495471</v>
      </c>
      <c r="G37" s="112">
        <f t="shared" si="1"/>
        <v>758.05599736972238</v>
      </c>
      <c r="H37" s="113">
        <f>PI()*(($A37/(2*1000))-INDEX(WallThickness!$B$6:$L$41,MATCH($A37,WallThickness!$B$6:$B$41,0),MATCH(SDR,WallThickness!$B$3:$L$3,0))/1000)^2*length*1000</f>
        <v>11959.697657024451</v>
      </c>
    </row>
    <row r="38" spans="1:8" ht="16.5" customHeight="1" x14ac:dyDescent="0.35">
      <c r="A38" s="30">
        <v>160</v>
      </c>
      <c r="B38" s="110">
        <f t="shared" si="0"/>
        <v>279.96277539558292</v>
      </c>
      <c r="C38" s="111">
        <f t="shared" si="1"/>
        <v>421.9127834547163</v>
      </c>
      <c r="D38" s="111">
        <f t="shared" si="1"/>
        <v>563.86279151384974</v>
      </c>
      <c r="E38" s="111">
        <f t="shared" si="1"/>
        <v>705.81279957298307</v>
      </c>
      <c r="F38" s="111">
        <f t="shared" si="1"/>
        <v>847.76280763211639</v>
      </c>
      <c r="G38" s="112">
        <f t="shared" si="1"/>
        <v>989.71281569124994</v>
      </c>
      <c r="H38" s="113">
        <f>PI()*(($A38/(2*1000))-INDEX(WallThickness!$B$6:$L$41,MATCH($A38,WallThickness!$B$6:$B$41,0),MATCH(SDR,WallThickness!$B$3:$L$3,0))/1000)^2*length*1000</f>
        <v>15614.500886504671</v>
      </c>
    </row>
    <row r="39" spans="1:8" ht="16.5" customHeight="1" x14ac:dyDescent="0.35">
      <c r="A39" s="30">
        <v>180</v>
      </c>
      <c r="B39" s="110">
        <f t="shared" si="0"/>
        <v>354.21620913381997</v>
      </c>
      <c r="C39" s="111">
        <f t="shared" si="1"/>
        <v>533.8150635535734</v>
      </c>
      <c r="D39" s="111">
        <f t="shared" si="1"/>
        <v>713.41391797332676</v>
      </c>
      <c r="E39" s="111">
        <f t="shared" si="1"/>
        <v>893.01277239308024</v>
      </c>
      <c r="F39" s="111">
        <f t="shared" si="1"/>
        <v>1072.6116268128335</v>
      </c>
      <c r="G39" s="112">
        <f t="shared" si="1"/>
        <v>1252.210481232587</v>
      </c>
      <c r="H39" s="113">
        <f>PI()*(($A39/(2*1000))-INDEX(WallThickness!$B$6:$L$41,MATCH($A39,WallThickness!$B$6:$B$41,0),MATCH(SDR,WallThickness!$B$3:$L$3,0))/1000)^2*length*1000</f>
        <v>19755.873986172875</v>
      </c>
    </row>
    <row r="40" spans="1:8" ht="16.5" customHeight="1" x14ac:dyDescent="0.35">
      <c r="A40" s="30">
        <v>200</v>
      </c>
      <c r="B40" s="110">
        <f t="shared" si="0"/>
        <v>437.1936778105952</v>
      </c>
      <c r="C40" s="111">
        <f t="shared" si="1"/>
        <v>658.86474104722322</v>
      </c>
      <c r="D40" s="111">
        <f t="shared" si="1"/>
        <v>880.53580428385135</v>
      </c>
      <c r="E40" s="111">
        <f t="shared" si="1"/>
        <v>1102.2068675204791</v>
      </c>
      <c r="F40" s="111">
        <f t="shared" si="1"/>
        <v>1323.8779307571074</v>
      </c>
      <c r="G40" s="112">
        <f t="shared" si="1"/>
        <v>1545.5489939937356</v>
      </c>
      <c r="H40" s="113">
        <f>PI()*(($A40/(2*1000))-INDEX(WallThickness!$B$6:$L$41,MATCH($A40,WallThickness!$B$6:$B$41,0),MATCH(SDR,WallThickness!$B$3:$L$3,0))/1000)^2*length*1000</f>
        <v>24383.816956029084</v>
      </c>
    </row>
    <row r="41" spans="1:8" ht="16.5" customHeight="1" x14ac:dyDescent="0.35">
      <c r="A41" s="30">
        <v>225</v>
      </c>
      <c r="B41" s="110">
        <f t="shared" si="0"/>
        <v>553.18368778888282</v>
      </c>
      <c r="C41" s="111">
        <f t="shared" si="1"/>
        <v>833.66536550071169</v>
      </c>
      <c r="D41" s="111">
        <f t="shared" si="1"/>
        <v>1114.1470432125407</v>
      </c>
      <c r="E41" s="111">
        <f t="shared" si="1"/>
        <v>1394.6287209243696</v>
      </c>
      <c r="F41" s="111">
        <f t="shared" si="1"/>
        <v>1675.1103986361986</v>
      </c>
      <c r="G41" s="112">
        <f t="shared" si="1"/>
        <v>1955.5920763480271</v>
      </c>
      <c r="H41" s="113">
        <f>PI()*(($A41/(2*1000))-INDEX(WallThickness!$B$6:$L$41,MATCH($A41,WallThickness!$B$6:$B$41,0),MATCH(SDR,WallThickness!$B$3:$L$3,0))/1000)^2*length*1000</f>
        <v>30852.984548301181</v>
      </c>
    </row>
    <row r="42" spans="1:8" ht="16.5" customHeight="1" x14ac:dyDescent="0.35">
      <c r="A42" s="30">
        <v>250</v>
      </c>
      <c r="B42" s="110">
        <f t="shared" si="0"/>
        <v>684.04590169809842</v>
      </c>
      <c r="C42" s="111">
        <f t="shared" ref="C42:G55" si="2">$B42+$H42*C$31/100*(1-startP/endP)</f>
        <v>1030.8788730517401</v>
      </c>
      <c r="D42" s="111">
        <f t="shared" si="2"/>
        <v>1377.7118444053817</v>
      </c>
      <c r="E42" s="111">
        <f t="shared" si="2"/>
        <v>1724.5448157590235</v>
      </c>
      <c r="F42" s="111">
        <f t="shared" si="2"/>
        <v>2071.3777871126649</v>
      </c>
      <c r="G42" s="112">
        <f t="shared" si="2"/>
        <v>2418.2107584663063</v>
      </c>
      <c r="H42" s="113">
        <f>PI()*(($A42/(2*1000))-INDEX(WallThickness!$B$6:$L$41,MATCH($A42,WallThickness!$B$6:$B$41,0),MATCH(SDR,WallThickness!$B$3:$L$3,0))/1000)^2*length*1000</f>
        <v>38151.626848900582</v>
      </c>
    </row>
    <row r="43" spans="1:8" ht="16.5" customHeight="1" x14ac:dyDescent="0.35">
      <c r="A43" s="30">
        <v>280</v>
      </c>
      <c r="B43" s="110">
        <f t="shared" si="0"/>
        <v>857.73350638353475</v>
      </c>
      <c r="C43" s="111">
        <f t="shared" si="2"/>
        <v>1292.6316030026057</v>
      </c>
      <c r="D43" s="111">
        <f t="shared" si="2"/>
        <v>1727.5296996216766</v>
      </c>
      <c r="E43" s="111">
        <f t="shared" si="2"/>
        <v>2162.4277962407477</v>
      </c>
      <c r="F43" s="111">
        <f t="shared" si="2"/>
        <v>2597.3258928598189</v>
      </c>
      <c r="G43" s="112">
        <f t="shared" si="2"/>
        <v>3032.2239894788895</v>
      </c>
      <c r="H43" s="113">
        <f>PI()*(($A43/(2*1000))-INDEX(WallThickness!$B$6:$L$41,MATCH($A43,WallThickness!$B$6:$B$41,0),MATCH(SDR,WallThickness!$B$3:$L$3,0))/1000)^2*length*1000</f>
        <v>47838.790628097806</v>
      </c>
    </row>
    <row r="44" spans="1:8" ht="16.5" customHeight="1" x14ac:dyDescent="0.35">
      <c r="A44" s="30">
        <v>315</v>
      </c>
      <c r="B44" s="110">
        <f t="shared" si="0"/>
        <v>1085.1780195396768</v>
      </c>
      <c r="C44" s="111">
        <f t="shared" si="2"/>
        <v>1635.3976992867219</v>
      </c>
      <c r="D44" s="111">
        <f t="shared" si="2"/>
        <v>2185.6173790337671</v>
      </c>
      <c r="E44" s="111">
        <f t="shared" si="2"/>
        <v>2735.8370587808113</v>
      </c>
      <c r="F44" s="111">
        <f t="shared" si="2"/>
        <v>3286.0567385278569</v>
      </c>
      <c r="G44" s="112">
        <f t="shared" si="2"/>
        <v>3836.276418274902</v>
      </c>
      <c r="H44" s="113">
        <f>PI()*(($A44/(2*1000))-INDEX(WallThickness!$B$6:$L$41,MATCH($A44,WallThickness!$B$6:$B$41,0),MATCH(SDR,WallThickness!$B$3:$L$3,0))/1000)^2*length*1000</f>
        <v>60524.164772174947</v>
      </c>
    </row>
    <row r="45" spans="1:8" ht="16.5" customHeight="1" x14ac:dyDescent="0.35">
      <c r="A45" s="30">
        <v>355</v>
      </c>
      <c r="B45" s="110">
        <f t="shared" si="0"/>
        <v>1377.8297370233561</v>
      </c>
      <c r="C45" s="111">
        <f t="shared" si="2"/>
        <v>2076.4331209847542</v>
      </c>
      <c r="D45" s="111">
        <f t="shared" si="2"/>
        <v>2775.0365049461516</v>
      </c>
      <c r="E45" s="111">
        <f t="shared" si="2"/>
        <v>3473.6398889075499</v>
      </c>
      <c r="F45" s="111">
        <f t="shared" si="2"/>
        <v>4172.2432728689473</v>
      </c>
      <c r="G45" s="112">
        <f t="shared" si="2"/>
        <v>4870.8466568303447</v>
      </c>
      <c r="H45" s="113">
        <f>PI()*(($A45/(2*1000))-INDEX(WallThickness!$B$6:$L$41,MATCH($A45,WallThickness!$B$6:$B$41,0),MATCH(SDR,WallThickness!$B$3:$L$3,0))/1000)^2*length*1000</f>
        <v>76846.372235753763</v>
      </c>
    </row>
    <row r="46" spans="1:8" ht="16.5" customHeight="1" x14ac:dyDescent="0.35">
      <c r="A46" s="30">
        <v>400</v>
      </c>
      <c r="B46" s="110">
        <f t="shared" si="0"/>
        <v>1750.7602628409306</v>
      </c>
      <c r="C46" s="111">
        <f t="shared" si="2"/>
        <v>2638.4512534332516</v>
      </c>
      <c r="D46" s="111">
        <f t="shared" si="2"/>
        <v>3526.1422440255728</v>
      </c>
      <c r="E46" s="111">
        <f t="shared" si="2"/>
        <v>4413.833234617894</v>
      </c>
      <c r="F46" s="111">
        <f t="shared" si="2"/>
        <v>5301.5242252102153</v>
      </c>
      <c r="G46" s="112">
        <f t="shared" si="2"/>
        <v>6189.2152158025365</v>
      </c>
      <c r="H46" s="113">
        <f>PI()*(($A46/(2*1000))-INDEX(WallThickness!$B$6:$L$41,MATCH($A46,WallThickness!$B$6:$B$41,0),MATCH(SDR,WallThickness!$B$3:$L$3,0))/1000)^2*length*1000</f>
        <v>97646.008965155343</v>
      </c>
    </row>
    <row r="47" spans="1:8" ht="16.5" customHeight="1" x14ac:dyDescent="0.35">
      <c r="A47" s="30">
        <v>450</v>
      </c>
      <c r="B47" s="110">
        <f t="shared" si="0"/>
        <v>2214.9681446557443</v>
      </c>
      <c r="C47" s="111">
        <f t="shared" si="2"/>
        <v>3338.0272568550126</v>
      </c>
      <c r="D47" s="111">
        <f t="shared" si="2"/>
        <v>4461.086369054281</v>
      </c>
      <c r="E47" s="111">
        <f t="shared" si="2"/>
        <v>5584.1454812535494</v>
      </c>
      <c r="F47" s="111">
        <f t="shared" si="2"/>
        <v>6707.2045934528187</v>
      </c>
      <c r="G47" s="112">
        <f t="shared" si="2"/>
        <v>7830.2637056520871</v>
      </c>
      <c r="H47" s="113">
        <f>PI()*(($A47/(2*1000))-INDEX(WallThickness!$B$6:$L$41,MATCH($A47,WallThickness!$B$6:$B$41,0),MATCH(SDR,WallThickness!$B$3:$L$3,0))/1000)^2*length*1000</f>
        <v>123536.50234191955</v>
      </c>
    </row>
    <row r="48" spans="1:8" ht="16.5" customHeight="1" x14ac:dyDescent="0.35">
      <c r="A48" s="30">
        <v>500</v>
      </c>
      <c r="B48" s="110">
        <f t="shared" si="0"/>
        <v>2733.7012448364198</v>
      </c>
      <c r="C48" s="111">
        <f t="shared" si="2"/>
        <v>4119.7744939942258</v>
      </c>
      <c r="D48" s="111">
        <f t="shared" si="2"/>
        <v>5505.8477431520314</v>
      </c>
      <c r="E48" s="111">
        <f t="shared" si="2"/>
        <v>6891.9209923098369</v>
      </c>
      <c r="F48" s="111">
        <f t="shared" si="2"/>
        <v>8277.9942414676425</v>
      </c>
      <c r="G48" s="112">
        <f t="shared" si="2"/>
        <v>9664.0674906254499</v>
      </c>
      <c r="H48" s="113">
        <f>PI()*(($A48/(2*1000))-INDEX(WallThickness!$B$6:$L$41,MATCH($A48,WallThickness!$B$6:$B$41,0),MATCH(SDR,WallThickness!$B$3:$L$3,0))/1000)^2*length*1000</f>
        <v>152468.05740735866</v>
      </c>
    </row>
    <row r="49" spans="1:16" ht="16.5" customHeight="1" x14ac:dyDescent="0.35">
      <c r="A49" s="30">
        <v>560</v>
      </c>
      <c r="B49" s="110">
        <f t="shared" si="0"/>
        <v>3430.934025534139</v>
      </c>
      <c r="C49" s="111">
        <f t="shared" si="2"/>
        <v>5170.526412010423</v>
      </c>
      <c r="D49" s="111">
        <f t="shared" si="2"/>
        <v>6910.1187984867065</v>
      </c>
      <c r="E49" s="111">
        <f t="shared" si="2"/>
        <v>8649.711184962991</v>
      </c>
      <c r="F49" s="111">
        <f t="shared" si="2"/>
        <v>10389.303571439275</v>
      </c>
      <c r="G49" s="112">
        <f t="shared" si="2"/>
        <v>12128.895957915558</v>
      </c>
      <c r="H49" s="113">
        <f>PI()*(($A49/(2*1000))-INDEX(WallThickness!$B$6:$L$41,MATCH($A49,WallThickness!$B$6:$B$41,0),MATCH(SDR,WallThickness!$B$3:$L$3,0))/1000)^2*length*1000</f>
        <v>191355.16251239122</v>
      </c>
    </row>
    <row r="50" spans="1:16" ht="13.5" x14ac:dyDescent="0.35">
      <c r="A50" s="30">
        <v>630</v>
      </c>
      <c r="B50" s="110">
        <f t="shared" si="0"/>
        <v>4340.7120781587073</v>
      </c>
      <c r="C50" s="111">
        <f t="shared" si="2"/>
        <v>6541.5907971468878</v>
      </c>
      <c r="D50" s="111">
        <f t="shared" si="2"/>
        <v>8742.4695161350683</v>
      </c>
      <c r="E50" s="111">
        <f t="shared" si="2"/>
        <v>10943.348235123245</v>
      </c>
      <c r="F50" s="111">
        <f t="shared" si="2"/>
        <v>13144.226954111427</v>
      </c>
      <c r="G50" s="112">
        <f t="shared" si="2"/>
        <v>15345.105673099608</v>
      </c>
      <c r="H50" s="113">
        <f>PI()*(($A50/(2*1000))-INDEX(WallThickness!$B$6:$L$41,MATCH($A50,WallThickness!$B$6:$B$41,0),MATCH(SDR,WallThickness!$B$3:$L$3,0))/1000)^2*length*1000</f>
        <v>242096.65908869979</v>
      </c>
      <c r="P50" s="3"/>
    </row>
    <row r="51" spans="1:16" ht="13.5" x14ac:dyDescent="0.35">
      <c r="A51" s="30">
        <v>710</v>
      </c>
      <c r="B51" s="110">
        <f t="shared" si="0"/>
        <v>5514.8433725904815</v>
      </c>
      <c r="C51" s="111">
        <f t="shared" si="2"/>
        <v>8311.043903457301</v>
      </c>
      <c r="D51" s="111">
        <f t="shared" si="2"/>
        <v>11107.24443432412</v>
      </c>
      <c r="E51" s="111">
        <f t="shared" si="2"/>
        <v>13903.444965190942</v>
      </c>
      <c r="F51" s="111">
        <f t="shared" si="2"/>
        <v>16699.645496057761</v>
      </c>
      <c r="G51" s="112">
        <f t="shared" si="2"/>
        <v>19495.846026924581</v>
      </c>
      <c r="H51" s="113">
        <f>PI()*(($A51/(2*1000))-INDEX(WallThickness!$B$6:$L$41,MATCH($A51,WallThickness!$B$6:$B$41,0),MATCH(SDR,WallThickness!$B$3:$L$3,0))/1000)^2*length*1000</f>
        <v>307582.05839535018</v>
      </c>
      <c r="P51" s="3"/>
    </row>
    <row r="52" spans="1:16" ht="13.5" x14ac:dyDescent="0.35">
      <c r="A52" s="30">
        <v>800</v>
      </c>
      <c r="B52" s="110">
        <f t="shared" si="0"/>
        <v>7003.0410513637225</v>
      </c>
      <c r="C52" s="111">
        <f t="shared" si="2"/>
        <v>10553.805013733006</v>
      </c>
      <c r="D52" s="111">
        <f t="shared" si="2"/>
        <v>14104.568976102291</v>
      </c>
      <c r="E52" s="111">
        <f t="shared" si="2"/>
        <v>17655.332938471576</v>
      </c>
      <c r="F52" s="111">
        <f t="shared" si="2"/>
        <v>21206.096900840861</v>
      </c>
      <c r="G52" s="112">
        <f t="shared" si="2"/>
        <v>24756.860863210146</v>
      </c>
      <c r="H52" s="113">
        <f>PI()*(($A52/(2*1000))-INDEX(WallThickness!$B$6:$L$41,MATCH($A52,WallThickness!$B$6:$B$41,0),MATCH(SDR,WallThickness!$B$3:$L$3,0))/1000)^2*length*1000</f>
        <v>390584.03586062137</v>
      </c>
      <c r="P52" s="3"/>
    </row>
    <row r="53" spans="1:16" ht="13.5" x14ac:dyDescent="0.35">
      <c r="A53" s="30">
        <v>900</v>
      </c>
      <c r="B53" s="110">
        <f t="shared" si="0"/>
        <v>8864.3410554545499</v>
      </c>
      <c r="C53" s="111">
        <f t="shared" si="2"/>
        <v>13358.843163753525</v>
      </c>
      <c r="D53" s="111">
        <f t="shared" si="2"/>
        <v>17853.345272052502</v>
      </c>
      <c r="E53" s="111">
        <f t="shared" si="2"/>
        <v>22347.847380351479</v>
      </c>
      <c r="F53" s="111">
        <f t="shared" si="2"/>
        <v>26842.349488650456</v>
      </c>
      <c r="G53" s="112">
        <f t="shared" si="2"/>
        <v>31336.851596949433</v>
      </c>
      <c r="H53" s="113">
        <f>PI()*(($A53/(2*1000))-INDEX(WallThickness!$B$6:$L$41,MATCH($A53,WallThickness!$B$6:$B$41,0),MATCH(SDR,WallThickness!$B$3:$L$3,0))/1000)^2*length*1000</f>
        <v>494395.23191288736</v>
      </c>
      <c r="P53" s="3"/>
    </row>
    <row r="54" spans="1:16" ht="13.5" x14ac:dyDescent="0.35">
      <c r="A54" s="30">
        <v>1000</v>
      </c>
      <c r="B54" s="110">
        <f t="shared" si="0"/>
        <v>10939.769139980577</v>
      </c>
      <c r="C54" s="111">
        <f t="shared" si="2"/>
        <v>16486.579123525989</v>
      </c>
      <c r="D54" s="111">
        <f t="shared" si="2"/>
        <v>22033.389107071402</v>
      </c>
      <c r="E54" s="111">
        <f t="shared" si="2"/>
        <v>27580.199090616818</v>
      </c>
      <c r="F54" s="111">
        <f t="shared" si="2"/>
        <v>33127.009074162226</v>
      </c>
      <c r="G54" s="112">
        <f t="shared" si="2"/>
        <v>38673.819057707646</v>
      </c>
      <c r="H54" s="113">
        <f>PI()*(($A54/(2*1000))-INDEX(WallThickness!$B$6:$L$41,MATCH($A54,WallThickness!$B$6:$B$41,0),MATCH(SDR,WallThickness!$B$3:$L$3,0))/1000)^2*length*1000</f>
        <v>610149.09818999551</v>
      </c>
    </row>
    <row r="55" spans="1:16" ht="13.9" thickBot="1" x14ac:dyDescent="0.4">
      <c r="A55" s="31">
        <v>1200</v>
      </c>
      <c r="B55" s="114">
        <f t="shared" si="0"/>
        <v>15756.842365568371</v>
      </c>
      <c r="C55" s="115">
        <f t="shared" si="2"/>
        <v>23746.061280899259</v>
      </c>
      <c r="D55" s="115">
        <f t="shared" si="2"/>
        <v>31735.280196230153</v>
      </c>
      <c r="E55" s="115">
        <f t="shared" si="2"/>
        <v>39724.499111561039</v>
      </c>
      <c r="F55" s="115">
        <f t="shared" si="2"/>
        <v>47713.718026891933</v>
      </c>
      <c r="G55" s="116">
        <f t="shared" si="2"/>
        <v>55702.936942222819</v>
      </c>
      <c r="H55" s="117">
        <f>PI()*(($A55/(2*1000))-INDEX(WallThickness!$B$6:$L$41,MATCH($A55,WallThickness!$B$6:$B$41,0),MATCH(SDR,WallThickness!$B$3:$L$3,0))/1000)^2*length*1000</f>
        <v>878814.08068639785</v>
      </c>
    </row>
    <row r="56" spans="1:16" x14ac:dyDescent="0.35">
      <c r="B56" s="32"/>
      <c r="C56" s="32"/>
      <c r="D56" s="32"/>
      <c r="E56" s="32"/>
      <c r="F56" s="32"/>
      <c r="G56" s="32"/>
      <c r="H56" s="33"/>
    </row>
  </sheetData>
  <mergeCells count="1">
    <mergeCell ref="B23:D23"/>
  </mergeCells>
  <pageMargins left="0.75" right="0.75" top="1" bottom="1" header="0.5" footer="0.5"/>
  <pageSetup paperSize="9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039A2A2-2A75-411E-97A4-1CBBDD2D40D9}">
          <x14:formula1>
            <xm:f>WallThickness!$C$3:$L$3</xm:f>
          </x14:formula1>
          <xm:sqref>B2</xm:sqref>
        </x14:dataValidation>
        <x14:dataValidation type="list" allowBlank="1" showInputMessage="1" showErrorMessage="1" xr:uid="{CE0E3F51-F930-44B0-9263-152A6D3ED59E}">
          <x14:formula1>
            <xm:f>WallThickness!$O$7:$O$8</xm:f>
          </x14:formula1>
          <xm:sqref>B3</xm:sqref>
        </x14:dataValidation>
        <x14:dataValidation type="list" allowBlank="1" showInputMessage="1" showErrorMessage="1" xr:uid="{D946D8E2-09F0-4D7E-BD21-BE15B862A67B}">
          <x14:formula1>
            <xm:f>WallThickness!$B$6:$B$41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63C44-A5C3-41D7-A7C3-57480DEF10A3}">
  <dimension ref="A1:AM82"/>
  <sheetViews>
    <sheetView workbookViewId="0">
      <selection activeCell="Q1" sqref="Q1:AA1"/>
    </sheetView>
  </sheetViews>
  <sheetFormatPr defaultRowHeight="12.75" x14ac:dyDescent="0.35"/>
  <cols>
    <col min="19" max="19" width="15.265625" customWidth="1"/>
    <col min="20" max="20" width="13.59765625" customWidth="1"/>
    <col min="26" max="26" width="9.3984375" customWidth="1"/>
    <col min="30" max="30" width="12.73046875" customWidth="1"/>
    <col min="31" max="31" width="12.265625" customWidth="1"/>
  </cols>
  <sheetData>
    <row r="1" spans="1:39" ht="13.9" customHeight="1" thickBot="1" x14ac:dyDescent="0.4">
      <c r="B1" s="196" t="s">
        <v>56</v>
      </c>
      <c r="C1" s="197"/>
      <c r="D1" s="197"/>
      <c r="E1" s="197"/>
      <c r="F1" s="197"/>
      <c r="G1" s="197"/>
      <c r="H1" s="197"/>
      <c r="I1" s="197"/>
      <c r="J1" s="197"/>
      <c r="K1" s="197"/>
      <c r="L1" s="198"/>
      <c r="Q1" s="199" t="s">
        <v>58</v>
      </c>
      <c r="R1" s="200"/>
      <c r="S1" s="200"/>
      <c r="T1" s="200"/>
      <c r="U1" s="200"/>
      <c r="V1" s="200"/>
      <c r="W1" s="200"/>
      <c r="X1" s="200"/>
      <c r="Y1" s="200"/>
      <c r="Z1" s="200"/>
      <c r="AA1" s="201"/>
      <c r="AC1" s="199" t="s">
        <v>59</v>
      </c>
      <c r="AD1" s="200"/>
      <c r="AE1" s="200"/>
      <c r="AF1" s="200"/>
      <c r="AG1" s="200"/>
      <c r="AH1" s="200"/>
      <c r="AI1" s="200"/>
      <c r="AJ1" s="200"/>
      <c r="AK1" s="200"/>
      <c r="AL1" s="200"/>
      <c r="AM1" s="201"/>
    </row>
    <row r="2" spans="1:39" ht="12.95" customHeight="1" thickBot="1" x14ac:dyDescent="0.4">
      <c r="B2" s="145" t="s">
        <v>10</v>
      </c>
      <c r="C2" s="146">
        <v>2.5</v>
      </c>
      <c r="D2" s="147">
        <v>3.2</v>
      </c>
      <c r="E2" s="148">
        <v>4</v>
      </c>
      <c r="F2" s="147">
        <v>5</v>
      </c>
      <c r="G2" s="148">
        <v>6.3</v>
      </c>
      <c r="H2" s="147">
        <v>8</v>
      </c>
      <c r="I2" s="148">
        <v>10</v>
      </c>
      <c r="J2" s="147">
        <v>12.5</v>
      </c>
      <c r="K2" s="148">
        <v>16</v>
      </c>
      <c r="L2" s="147">
        <v>20</v>
      </c>
    </row>
    <row r="3" spans="1:39" ht="13.15" thickBot="1" x14ac:dyDescent="0.4">
      <c r="A3" s="14"/>
      <c r="B3" s="15" t="s">
        <v>0</v>
      </c>
      <c r="C3" s="17">
        <v>6</v>
      </c>
      <c r="D3" s="16">
        <v>7.4</v>
      </c>
      <c r="E3" s="18">
        <v>9</v>
      </c>
      <c r="F3" s="16">
        <v>11</v>
      </c>
      <c r="G3" s="18">
        <v>13.6</v>
      </c>
      <c r="H3" s="16">
        <v>17</v>
      </c>
      <c r="I3" s="18">
        <v>21</v>
      </c>
      <c r="J3" s="16">
        <v>26</v>
      </c>
      <c r="K3" s="18">
        <v>33</v>
      </c>
      <c r="L3" s="16">
        <v>41</v>
      </c>
      <c r="Q3" s="15" t="s">
        <v>0</v>
      </c>
      <c r="R3" s="17">
        <v>6</v>
      </c>
      <c r="S3" s="16">
        <v>7.4</v>
      </c>
      <c r="T3" s="18">
        <v>9</v>
      </c>
      <c r="U3" s="16">
        <v>11</v>
      </c>
      <c r="V3" s="18">
        <v>13.6</v>
      </c>
      <c r="W3" s="16">
        <v>17</v>
      </c>
      <c r="X3" s="18">
        <v>21</v>
      </c>
      <c r="Y3" s="16">
        <v>26</v>
      </c>
      <c r="Z3" s="18">
        <v>33</v>
      </c>
      <c r="AA3" s="16">
        <v>41</v>
      </c>
      <c r="AB3" s="125"/>
      <c r="AC3" s="15" t="s">
        <v>0</v>
      </c>
      <c r="AD3" s="17">
        <v>6</v>
      </c>
      <c r="AE3" s="16">
        <v>7.4</v>
      </c>
      <c r="AF3" s="18">
        <v>9</v>
      </c>
      <c r="AG3" s="16">
        <v>11</v>
      </c>
      <c r="AH3" s="18">
        <v>13.6</v>
      </c>
      <c r="AI3" s="16">
        <v>17</v>
      </c>
      <c r="AJ3" s="18">
        <v>21</v>
      </c>
      <c r="AK3" s="16">
        <v>26</v>
      </c>
      <c r="AL3" s="18">
        <v>33</v>
      </c>
      <c r="AM3" s="16">
        <v>41</v>
      </c>
    </row>
    <row r="4" spans="1:39" ht="13.15" x14ac:dyDescent="0.4">
      <c r="A4" s="14" t="s">
        <v>11</v>
      </c>
      <c r="B4" s="8" t="s">
        <v>1</v>
      </c>
      <c r="C4" s="12" t="s">
        <v>8</v>
      </c>
      <c r="D4" s="8" t="s">
        <v>8</v>
      </c>
      <c r="E4" s="10" t="s">
        <v>8</v>
      </c>
      <c r="F4" s="8" t="s">
        <v>8</v>
      </c>
      <c r="G4" s="10" t="s">
        <v>8</v>
      </c>
      <c r="H4" s="8" t="s">
        <v>8</v>
      </c>
      <c r="I4" s="10" t="s">
        <v>8</v>
      </c>
      <c r="J4" s="8" t="s">
        <v>8</v>
      </c>
      <c r="K4" s="10" t="s">
        <v>8</v>
      </c>
      <c r="L4" s="8" t="s">
        <v>8</v>
      </c>
      <c r="Q4" s="126" t="s">
        <v>1</v>
      </c>
      <c r="AC4" s="126" t="s">
        <v>1</v>
      </c>
    </row>
    <row r="5" spans="1:39" x14ac:dyDescent="0.35">
      <c r="A5" s="7"/>
      <c r="B5" s="7"/>
      <c r="C5" s="12" t="str">
        <f>C3&amp;C4</f>
        <v>6emin</v>
      </c>
      <c r="D5" s="9" t="str">
        <f t="shared" ref="D5:L5" si="0">D3&amp;D4</f>
        <v>7.4emin</v>
      </c>
      <c r="E5" s="10" t="str">
        <f t="shared" si="0"/>
        <v>9emin</v>
      </c>
      <c r="F5" s="9" t="str">
        <f t="shared" si="0"/>
        <v>11emin</v>
      </c>
      <c r="G5" s="10" t="str">
        <f t="shared" si="0"/>
        <v>13.6emin</v>
      </c>
      <c r="H5" s="9" t="str">
        <f t="shared" si="0"/>
        <v>17emin</v>
      </c>
      <c r="I5" s="10" t="str">
        <f t="shared" si="0"/>
        <v>21emin</v>
      </c>
      <c r="J5" s="9" t="str">
        <f t="shared" si="0"/>
        <v>26emin</v>
      </c>
      <c r="K5" s="10" t="str">
        <f t="shared" si="0"/>
        <v>33emin</v>
      </c>
      <c r="L5" s="9" t="str">
        <f t="shared" si="0"/>
        <v>41emin</v>
      </c>
      <c r="Q5" s="126"/>
      <c r="AC5" s="126"/>
    </row>
    <row r="6" spans="1:39" ht="13.15" x14ac:dyDescent="0.4">
      <c r="A6" s="6" t="s">
        <v>13</v>
      </c>
      <c r="B6" s="21">
        <v>16</v>
      </c>
      <c r="C6" s="13">
        <v>3</v>
      </c>
      <c r="D6" s="6">
        <v>2.2999999999999998</v>
      </c>
      <c r="E6" s="11">
        <v>2</v>
      </c>
      <c r="F6" s="6"/>
      <c r="G6" s="11"/>
      <c r="H6" s="6"/>
      <c r="I6" s="11"/>
      <c r="J6" s="6"/>
      <c r="K6" s="11"/>
      <c r="L6" s="6"/>
      <c r="O6" s="119" t="s">
        <v>40</v>
      </c>
      <c r="Q6" s="21">
        <v>16</v>
      </c>
      <c r="R6" s="123">
        <f>$B6/C$3</f>
        <v>2.6666666666666665</v>
      </c>
      <c r="S6" s="123">
        <f t="shared" ref="S6:T6" si="1">$B6/D$3</f>
        <v>2.1621621621621618</v>
      </c>
      <c r="T6" s="123">
        <f t="shared" si="1"/>
        <v>1.7777777777777777</v>
      </c>
      <c r="U6" s="123"/>
      <c r="V6" s="123"/>
      <c r="W6" s="123"/>
      <c r="X6" s="123"/>
      <c r="Y6" s="123"/>
      <c r="Z6" s="123"/>
      <c r="AA6" s="123"/>
      <c r="AB6" s="123"/>
      <c r="AC6" s="21">
        <v>16</v>
      </c>
      <c r="AD6" s="124">
        <f t="shared" ref="AD6:AD25" si="2">(C6-R6)/R6</f>
        <v>0.12500000000000006</v>
      </c>
      <c r="AE6" s="124">
        <f t="shared" ref="AE6:AE25" si="3">(D6-S6)/S6</f>
        <v>6.375000000000007E-2</v>
      </c>
      <c r="AF6" s="124">
        <f t="shared" ref="AF6:AF25" si="4">(E6-T6)/T6</f>
        <v>0.12500000000000006</v>
      </c>
      <c r="AG6" s="124"/>
      <c r="AH6" s="124"/>
      <c r="AI6" s="124"/>
      <c r="AJ6" s="124"/>
      <c r="AK6" s="124"/>
      <c r="AL6" s="124"/>
      <c r="AM6" s="124"/>
    </row>
    <row r="7" spans="1:39" x14ac:dyDescent="0.35">
      <c r="A7" s="6" t="s">
        <v>13</v>
      </c>
      <c r="B7" s="21">
        <v>20</v>
      </c>
      <c r="C7" s="13">
        <v>3.4</v>
      </c>
      <c r="D7" s="6">
        <v>3</v>
      </c>
      <c r="E7" s="11">
        <v>2.2999999999999998</v>
      </c>
      <c r="F7" s="6">
        <v>2</v>
      </c>
      <c r="G7" s="11"/>
      <c r="H7" s="6"/>
      <c r="I7" s="11"/>
      <c r="J7" s="6"/>
      <c r="K7" s="11"/>
      <c r="L7" s="6"/>
      <c r="O7" t="s">
        <v>31</v>
      </c>
      <c r="Q7" s="21">
        <v>20</v>
      </c>
      <c r="R7" s="123">
        <f t="shared" ref="R7:R25" si="5">$B7/C$3</f>
        <v>3.3333333333333335</v>
      </c>
      <c r="S7" s="123">
        <f t="shared" ref="S7:S27" si="6">$B7/D$3</f>
        <v>2.7027027027027026</v>
      </c>
      <c r="T7" s="123">
        <f t="shared" ref="T7:T32" si="7">$B7/E$3</f>
        <v>2.2222222222222223</v>
      </c>
      <c r="U7" s="123">
        <f t="shared" ref="U7:U34" si="8">$B7/F$3</f>
        <v>1.8181818181818181</v>
      </c>
      <c r="V7" s="123"/>
      <c r="W7" s="123"/>
      <c r="X7" s="123"/>
      <c r="Y7" s="123"/>
      <c r="Z7" s="123"/>
      <c r="AA7" s="123"/>
      <c r="AB7" s="123"/>
      <c r="AC7" s="21">
        <v>20</v>
      </c>
      <c r="AD7" s="124">
        <f t="shared" si="2"/>
        <v>1.9999999999999928E-2</v>
      </c>
      <c r="AE7" s="124">
        <f t="shared" si="3"/>
        <v>0.11000000000000003</v>
      </c>
      <c r="AF7" s="124">
        <f t="shared" si="4"/>
        <v>3.4999999999999871E-2</v>
      </c>
      <c r="AG7" s="124">
        <f t="shared" ref="AG7:AG34" si="9">(F7-U7)/U7</f>
        <v>0.10000000000000003</v>
      </c>
      <c r="AH7" s="124"/>
      <c r="AI7" s="124"/>
      <c r="AJ7" s="124"/>
      <c r="AK7" s="124"/>
      <c r="AL7" s="124"/>
      <c r="AM7" s="124"/>
    </row>
    <row r="8" spans="1:39" x14ac:dyDescent="0.35">
      <c r="A8" s="6" t="s">
        <v>13</v>
      </c>
      <c r="B8" s="21">
        <v>25</v>
      </c>
      <c r="C8" s="13">
        <v>4.2</v>
      </c>
      <c r="D8" s="6">
        <v>3.5</v>
      </c>
      <c r="E8" s="11">
        <v>3</v>
      </c>
      <c r="F8" s="6">
        <v>2.2999999999999998</v>
      </c>
      <c r="G8" s="11">
        <v>2</v>
      </c>
      <c r="H8" s="6"/>
      <c r="I8" s="11"/>
      <c r="J8" s="6"/>
      <c r="K8" s="11"/>
      <c r="L8" s="6"/>
      <c r="O8" t="s">
        <v>16</v>
      </c>
      <c r="Q8" s="21">
        <v>25</v>
      </c>
      <c r="R8" s="123">
        <f t="shared" si="5"/>
        <v>4.166666666666667</v>
      </c>
      <c r="S8" s="123">
        <f t="shared" si="6"/>
        <v>3.3783783783783781</v>
      </c>
      <c r="T8" s="123">
        <f t="shared" si="7"/>
        <v>2.7777777777777777</v>
      </c>
      <c r="U8" s="123">
        <f t="shared" si="8"/>
        <v>2.2727272727272729</v>
      </c>
      <c r="V8" s="123">
        <f t="shared" ref="V8:V37" si="10">$B8/G$3</f>
        <v>1.8382352941176472</v>
      </c>
      <c r="W8" s="123"/>
      <c r="X8" s="123"/>
      <c r="Y8" s="123"/>
      <c r="Z8" s="123"/>
      <c r="AA8" s="123"/>
      <c r="AB8" s="123"/>
      <c r="AC8" s="21">
        <v>25</v>
      </c>
      <c r="AD8" s="124">
        <f t="shared" si="2"/>
        <v>7.9999999999999707E-3</v>
      </c>
      <c r="AE8" s="124">
        <f t="shared" si="3"/>
        <v>3.6000000000000094E-2</v>
      </c>
      <c r="AF8" s="124">
        <f t="shared" si="4"/>
        <v>8.0000000000000043E-2</v>
      </c>
      <c r="AG8" s="124">
        <f t="shared" si="9"/>
        <v>1.1999999999999832E-2</v>
      </c>
      <c r="AH8" s="124">
        <f t="shared" ref="AH8:AH37" si="11">(G8-V8)/V8</f>
        <v>8.7999999999999926E-2</v>
      </c>
      <c r="AI8" s="124"/>
      <c r="AJ8" s="124"/>
      <c r="AK8" s="124"/>
      <c r="AL8" s="124"/>
      <c r="AM8" s="124"/>
    </row>
    <row r="9" spans="1:39" x14ac:dyDescent="0.35">
      <c r="A9" s="6" t="s">
        <v>13</v>
      </c>
      <c r="B9" s="21">
        <v>32</v>
      </c>
      <c r="C9" s="13">
        <v>5.4</v>
      </c>
      <c r="D9" s="6">
        <v>4.4000000000000004</v>
      </c>
      <c r="E9" s="11">
        <v>3.6</v>
      </c>
      <c r="F9" s="6">
        <v>3</v>
      </c>
      <c r="G9" s="11">
        <v>2.4</v>
      </c>
      <c r="H9" s="6">
        <v>2</v>
      </c>
      <c r="I9" s="11"/>
      <c r="J9" s="6"/>
      <c r="K9" s="11"/>
      <c r="L9" s="6"/>
      <c r="O9" t="s">
        <v>32</v>
      </c>
      <c r="Q9" s="21">
        <v>32</v>
      </c>
      <c r="R9" s="123">
        <f t="shared" si="5"/>
        <v>5.333333333333333</v>
      </c>
      <c r="S9" s="123">
        <f t="shared" si="6"/>
        <v>4.3243243243243237</v>
      </c>
      <c r="T9" s="123">
        <f t="shared" si="7"/>
        <v>3.5555555555555554</v>
      </c>
      <c r="U9" s="123">
        <f t="shared" si="8"/>
        <v>2.9090909090909092</v>
      </c>
      <c r="V9" s="123">
        <f t="shared" si="10"/>
        <v>2.3529411764705883</v>
      </c>
      <c r="W9" s="123">
        <f t="shared" ref="W9:W39" si="12">$B9/H$3</f>
        <v>1.8823529411764706</v>
      </c>
      <c r="X9" s="123"/>
      <c r="Y9" s="123"/>
      <c r="Z9" s="123"/>
      <c r="AA9" s="123"/>
      <c r="AB9" s="123"/>
      <c r="AC9" s="21">
        <v>32</v>
      </c>
      <c r="AD9" s="124">
        <f t="shared" si="2"/>
        <v>1.2500000000000122E-2</v>
      </c>
      <c r="AE9" s="124">
        <f t="shared" si="3"/>
        <v>1.7500000000000234E-2</v>
      </c>
      <c r="AF9" s="124">
        <f t="shared" si="4"/>
        <v>1.250000000000008E-2</v>
      </c>
      <c r="AG9" s="124">
        <f t="shared" si="9"/>
        <v>3.1249999999999972E-2</v>
      </c>
      <c r="AH9" s="124">
        <f t="shared" si="11"/>
        <v>1.9999999999999928E-2</v>
      </c>
      <c r="AI9" s="124">
        <f t="shared" ref="AI9:AI39" si="13">(H9-W9)/W9</f>
        <v>6.2500000000000014E-2</v>
      </c>
      <c r="AJ9" s="124"/>
      <c r="AK9" s="124"/>
      <c r="AL9" s="124"/>
      <c r="AM9" s="124"/>
    </row>
    <row r="10" spans="1:39" x14ac:dyDescent="0.35">
      <c r="A10" s="6" t="s">
        <v>13</v>
      </c>
      <c r="B10" s="21">
        <v>40</v>
      </c>
      <c r="C10" s="13">
        <v>6.7</v>
      </c>
      <c r="D10" s="6">
        <v>5.5</v>
      </c>
      <c r="E10" s="11">
        <v>4.5</v>
      </c>
      <c r="F10" s="6">
        <v>3.7</v>
      </c>
      <c r="G10" s="11">
        <v>3</v>
      </c>
      <c r="H10" s="6">
        <v>2.4</v>
      </c>
      <c r="I10" s="11">
        <v>2</v>
      </c>
      <c r="J10" s="6"/>
      <c r="K10" s="11"/>
      <c r="L10" s="6"/>
      <c r="Q10" s="21">
        <v>40</v>
      </c>
      <c r="R10" s="123">
        <f t="shared" si="5"/>
        <v>6.666666666666667</v>
      </c>
      <c r="S10" s="123">
        <f t="shared" si="6"/>
        <v>5.4054054054054053</v>
      </c>
      <c r="T10" s="123">
        <f t="shared" si="7"/>
        <v>4.4444444444444446</v>
      </c>
      <c r="U10" s="123">
        <f t="shared" si="8"/>
        <v>3.6363636363636362</v>
      </c>
      <c r="V10" s="123">
        <f t="shared" si="10"/>
        <v>2.9411764705882355</v>
      </c>
      <c r="W10" s="123">
        <f t="shared" si="12"/>
        <v>2.3529411764705883</v>
      </c>
      <c r="X10" s="123">
        <f t="shared" ref="X10:X41" si="14">$B10/I$3</f>
        <v>1.9047619047619047</v>
      </c>
      <c r="Y10" s="123"/>
      <c r="Z10" s="123"/>
      <c r="AA10" s="123"/>
      <c r="AB10" s="123"/>
      <c r="AC10" s="21">
        <v>40</v>
      </c>
      <c r="AD10" s="124">
        <f t="shared" si="2"/>
        <v>4.9999999999999819E-3</v>
      </c>
      <c r="AE10" s="124">
        <f t="shared" si="3"/>
        <v>1.7500000000000026E-2</v>
      </c>
      <c r="AF10" s="124">
        <f t="shared" si="4"/>
        <v>1.2499999999999956E-2</v>
      </c>
      <c r="AG10" s="124">
        <f t="shared" si="9"/>
        <v>1.7500000000000081E-2</v>
      </c>
      <c r="AH10" s="124">
        <f t="shared" si="11"/>
        <v>1.9999999999999928E-2</v>
      </c>
      <c r="AI10" s="124">
        <f t="shared" si="13"/>
        <v>1.9999999999999928E-2</v>
      </c>
      <c r="AJ10" s="124">
        <f t="shared" ref="AJ10:AJ41" si="15">(I10-X10)/X10</f>
        <v>5.0000000000000058E-2</v>
      </c>
      <c r="AK10" s="124"/>
      <c r="AL10" s="124"/>
      <c r="AM10" s="124"/>
    </row>
    <row r="11" spans="1:39" x14ac:dyDescent="0.35">
      <c r="A11" s="6" t="s">
        <v>13</v>
      </c>
      <c r="B11" s="21">
        <v>50</v>
      </c>
      <c r="C11" s="13">
        <v>8.3000000000000007</v>
      </c>
      <c r="D11" s="6">
        <v>6.9</v>
      </c>
      <c r="E11" s="11">
        <v>5.6</v>
      </c>
      <c r="F11" s="6">
        <v>4.5999999999999996</v>
      </c>
      <c r="G11" s="11">
        <v>3.7</v>
      </c>
      <c r="H11" s="6">
        <v>3</v>
      </c>
      <c r="I11" s="11">
        <v>2.4</v>
      </c>
      <c r="J11" s="6">
        <v>2</v>
      </c>
      <c r="K11" s="11"/>
      <c r="L11" s="6"/>
      <c r="O11" s="129"/>
      <c r="Q11" s="21">
        <v>50</v>
      </c>
      <c r="R11" s="123">
        <f t="shared" si="5"/>
        <v>8.3333333333333339</v>
      </c>
      <c r="S11" s="123">
        <f t="shared" si="6"/>
        <v>6.7567567567567561</v>
      </c>
      <c r="T11" s="123">
        <f t="shared" si="7"/>
        <v>5.5555555555555554</v>
      </c>
      <c r="U11" s="123">
        <f t="shared" si="8"/>
        <v>4.5454545454545459</v>
      </c>
      <c r="V11" s="123">
        <f t="shared" si="10"/>
        <v>3.6764705882352944</v>
      </c>
      <c r="W11" s="123">
        <f t="shared" si="12"/>
        <v>2.9411764705882355</v>
      </c>
      <c r="X11" s="123">
        <f t="shared" si="14"/>
        <v>2.3809523809523809</v>
      </c>
      <c r="Y11" s="123">
        <f t="shared" ref="Y11:AA41" si="16">$B11/J$3</f>
        <v>1.9230769230769231</v>
      </c>
      <c r="Z11" s="123"/>
      <c r="AA11" s="123"/>
      <c r="AB11" s="123"/>
      <c r="AC11" s="21">
        <v>50</v>
      </c>
      <c r="AD11" s="124">
        <f t="shared" si="2"/>
        <v>-3.9999999999999853E-3</v>
      </c>
      <c r="AE11" s="124">
        <f t="shared" si="3"/>
        <v>2.1200000000000146E-2</v>
      </c>
      <c r="AF11" s="124">
        <f t="shared" si="4"/>
        <v>7.9999999999999724E-3</v>
      </c>
      <c r="AG11" s="124">
        <f t="shared" si="9"/>
        <v>1.1999999999999832E-2</v>
      </c>
      <c r="AH11" s="124">
        <f t="shared" si="11"/>
        <v>6.3999999999999769E-3</v>
      </c>
      <c r="AI11" s="124">
        <f t="shared" si="13"/>
        <v>1.9999999999999928E-2</v>
      </c>
      <c r="AJ11" s="124">
        <f t="shared" si="15"/>
        <v>7.9999999999999724E-3</v>
      </c>
      <c r="AK11" s="124">
        <f t="shared" ref="AK11:AK41" si="17">(J11-Y11)/Y11</f>
        <v>3.9999999999999973E-2</v>
      </c>
      <c r="AL11" s="124"/>
      <c r="AM11" s="124"/>
    </row>
    <row r="12" spans="1:39" x14ac:dyDescent="0.35">
      <c r="A12" s="6" t="s">
        <v>12</v>
      </c>
      <c r="B12" s="21">
        <v>63</v>
      </c>
      <c r="C12" s="13">
        <v>10.5</v>
      </c>
      <c r="D12" s="6">
        <v>8.6</v>
      </c>
      <c r="E12" s="11">
        <v>7.1</v>
      </c>
      <c r="F12" s="6">
        <v>5.8</v>
      </c>
      <c r="G12" s="11">
        <v>4.7</v>
      </c>
      <c r="H12" s="6">
        <v>3.8</v>
      </c>
      <c r="I12" s="11">
        <v>3</v>
      </c>
      <c r="J12" s="6">
        <v>2.5</v>
      </c>
      <c r="K12" s="11"/>
      <c r="L12" s="6"/>
      <c r="O12" s="129"/>
      <c r="Q12" s="21">
        <v>63</v>
      </c>
      <c r="R12" s="123">
        <f t="shared" si="5"/>
        <v>10.5</v>
      </c>
      <c r="S12" s="123">
        <f t="shared" si="6"/>
        <v>8.5135135135135123</v>
      </c>
      <c r="T12" s="123">
        <f t="shared" si="7"/>
        <v>7</v>
      </c>
      <c r="U12" s="123">
        <f t="shared" si="8"/>
        <v>5.7272727272727275</v>
      </c>
      <c r="V12" s="123">
        <f t="shared" si="10"/>
        <v>4.632352941176471</v>
      </c>
      <c r="W12" s="123">
        <f t="shared" si="12"/>
        <v>3.7058823529411766</v>
      </c>
      <c r="X12" s="123">
        <f t="shared" si="14"/>
        <v>3</v>
      </c>
      <c r="Y12" s="123">
        <f t="shared" si="16"/>
        <v>2.4230769230769229</v>
      </c>
      <c r="Z12" s="123"/>
      <c r="AA12" s="123"/>
      <c r="AB12" s="123"/>
      <c r="AC12" s="21">
        <v>63</v>
      </c>
      <c r="AD12" s="124">
        <f t="shared" si="2"/>
        <v>0</v>
      </c>
      <c r="AE12" s="124">
        <f t="shared" si="3"/>
        <v>1.0158730158730265E-2</v>
      </c>
      <c r="AF12" s="124">
        <f t="shared" si="4"/>
        <v>1.4285714285714235E-2</v>
      </c>
      <c r="AG12" s="124">
        <f t="shared" si="9"/>
        <v>1.2698412698412624E-2</v>
      </c>
      <c r="AH12" s="124">
        <f t="shared" si="11"/>
        <v>1.460317460317455E-2</v>
      </c>
      <c r="AI12" s="124">
        <f t="shared" si="13"/>
        <v>2.5396825396825307E-2</v>
      </c>
      <c r="AJ12" s="124">
        <f t="shared" si="15"/>
        <v>0</v>
      </c>
      <c r="AK12" s="124">
        <f t="shared" si="17"/>
        <v>3.1746031746031821E-2</v>
      </c>
      <c r="AL12" s="124"/>
      <c r="AM12" s="124"/>
    </row>
    <row r="13" spans="1:39" x14ac:dyDescent="0.35">
      <c r="A13" s="6" t="s">
        <v>13</v>
      </c>
      <c r="B13" s="21">
        <v>75</v>
      </c>
      <c r="C13" s="13">
        <v>12.5</v>
      </c>
      <c r="D13" s="6">
        <v>10.3</v>
      </c>
      <c r="E13" s="11">
        <v>8.4</v>
      </c>
      <c r="F13" s="6">
        <v>6.8</v>
      </c>
      <c r="G13" s="11">
        <v>5.6</v>
      </c>
      <c r="H13" s="6">
        <v>4.5</v>
      </c>
      <c r="I13" s="11">
        <v>3.6</v>
      </c>
      <c r="J13" s="6">
        <v>2.9</v>
      </c>
      <c r="K13" s="11"/>
      <c r="L13" s="6"/>
      <c r="O13" s="129"/>
      <c r="Q13" s="21">
        <v>75</v>
      </c>
      <c r="R13" s="123">
        <f t="shared" si="5"/>
        <v>12.5</v>
      </c>
      <c r="S13" s="123">
        <f t="shared" si="6"/>
        <v>10.135135135135135</v>
      </c>
      <c r="T13" s="123">
        <f t="shared" si="7"/>
        <v>8.3333333333333339</v>
      </c>
      <c r="U13" s="123">
        <f t="shared" si="8"/>
        <v>6.8181818181818183</v>
      </c>
      <c r="V13" s="123">
        <f t="shared" si="10"/>
        <v>5.5147058823529411</v>
      </c>
      <c r="W13" s="123">
        <f t="shared" si="12"/>
        <v>4.4117647058823533</v>
      </c>
      <c r="X13" s="123">
        <f t="shared" si="14"/>
        <v>3.5714285714285716</v>
      </c>
      <c r="Y13" s="123">
        <f t="shared" si="16"/>
        <v>2.8846153846153846</v>
      </c>
      <c r="Z13" s="123"/>
      <c r="AA13" s="123"/>
      <c r="AB13" s="123"/>
      <c r="AC13" s="21">
        <v>75</v>
      </c>
      <c r="AD13" s="124">
        <f t="shared" si="2"/>
        <v>0</v>
      </c>
      <c r="AE13" s="124">
        <f t="shared" si="3"/>
        <v>1.6266666666666742E-2</v>
      </c>
      <c r="AF13" s="124">
        <f t="shared" si="4"/>
        <v>7.9999999999999707E-3</v>
      </c>
      <c r="AG13" s="124">
        <f t="shared" si="9"/>
        <v>-2.6666666666667165E-3</v>
      </c>
      <c r="AH13" s="124">
        <f t="shared" si="11"/>
        <v>1.5466666666666611E-2</v>
      </c>
      <c r="AI13" s="124">
        <f t="shared" si="13"/>
        <v>1.9999999999999928E-2</v>
      </c>
      <c r="AJ13" s="124">
        <f t="shared" si="15"/>
        <v>7.9999999999999707E-3</v>
      </c>
      <c r="AK13" s="124">
        <f t="shared" si="17"/>
        <v>5.3333333333333141E-3</v>
      </c>
      <c r="AL13" s="124"/>
      <c r="AM13" s="124"/>
    </row>
    <row r="14" spans="1:39" x14ac:dyDescent="0.35">
      <c r="A14" s="6" t="s">
        <v>12</v>
      </c>
      <c r="B14" s="21">
        <v>90</v>
      </c>
      <c r="C14" s="13">
        <v>15</v>
      </c>
      <c r="D14" s="6">
        <v>12.3</v>
      </c>
      <c r="E14" s="11">
        <v>10.1</v>
      </c>
      <c r="F14" s="6">
        <v>8.1999999999999993</v>
      </c>
      <c r="G14" s="11">
        <v>6.7</v>
      </c>
      <c r="H14" s="6">
        <v>5.4</v>
      </c>
      <c r="I14" s="11">
        <v>4.3</v>
      </c>
      <c r="J14" s="6">
        <v>3.5</v>
      </c>
      <c r="K14" s="11"/>
      <c r="L14" s="6"/>
      <c r="O14" s="129"/>
      <c r="Q14" s="21">
        <v>90</v>
      </c>
      <c r="R14" s="123">
        <f t="shared" si="5"/>
        <v>15</v>
      </c>
      <c r="S14" s="123">
        <f t="shared" si="6"/>
        <v>12.162162162162161</v>
      </c>
      <c r="T14" s="123">
        <f t="shared" si="7"/>
        <v>10</v>
      </c>
      <c r="U14" s="123">
        <f t="shared" si="8"/>
        <v>8.1818181818181817</v>
      </c>
      <c r="V14" s="123">
        <f t="shared" si="10"/>
        <v>6.6176470588235299</v>
      </c>
      <c r="W14" s="123">
        <f t="shared" si="12"/>
        <v>5.2941176470588234</v>
      </c>
      <c r="X14" s="123">
        <f t="shared" si="14"/>
        <v>4.2857142857142856</v>
      </c>
      <c r="Y14" s="123">
        <f t="shared" si="16"/>
        <v>3.4615384615384617</v>
      </c>
      <c r="Z14" s="123"/>
      <c r="AA14" s="123"/>
      <c r="AB14" s="123"/>
      <c r="AC14" s="21">
        <v>90</v>
      </c>
      <c r="AD14" s="124">
        <f t="shared" si="2"/>
        <v>0</v>
      </c>
      <c r="AE14" s="124">
        <f t="shared" si="3"/>
        <v>1.1333333333333456E-2</v>
      </c>
      <c r="AF14" s="124">
        <f t="shared" si="4"/>
        <v>9.9999999999999638E-3</v>
      </c>
      <c r="AG14" s="124">
        <f t="shared" si="9"/>
        <v>2.222222222222155E-3</v>
      </c>
      <c r="AH14" s="124">
        <f t="shared" si="11"/>
        <v>1.2444444444444399E-2</v>
      </c>
      <c r="AI14" s="124">
        <f t="shared" si="13"/>
        <v>2.0000000000000098E-2</v>
      </c>
      <c r="AJ14" s="124">
        <f t="shared" si="15"/>
        <v>3.3333333333333214E-3</v>
      </c>
      <c r="AK14" s="124">
        <f t="shared" si="17"/>
        <v>1.1111111111111072E-2</v>
      </c>
      <c r="AL14" s="124"/>
      <c r="AM14" s="124"/>
    </row>
    <row r="15" spans="1:39" x14ac:dyDescent="0.35">
      <c r="A15" s="6" t="s">
        <v>12</v>
      </c>
      <c r="B15" s="21">
        <v>110</v>
      </c>
      <c r="C15" s="13">
        <v>18.3</v>
      </c>
      <c r="D15" s="6">
        <v>15.1</v>
      </c>
      <c r="E15" s="11">
        <v>12.3</v>
      </c>
      <c r="F15" s="6">
        <v>10</v>
      </c>
      <c r="G15" s="11">
        <v>8.1</v>
      </c>
      <c r="H15" s="6">
        <v>6.6</v>
      </c>
      <c r="I15" s="11">
        <v>5.3</v>
      </c>
      <c r="J15" s="6">
        <v>4.2</v>
      </c>
      <c r="K15" s="11"/>
      <c r="L15" s="6"/>
      <c r="Q15" s="21">
        <v>110</v>
      </c>
      <c r="R15" s="123">
        <f t="shared" si="5"/>
        <v>18.333333333333332</v>
      </c>
      <c r="S15" s="123">
        <f t="shared" si="6"/>
        <v>14.864864864864865</v>
      </c>
      <c r="T15" s="123">
        <f t="shared" si="7"/>
        <v>12.222222222222221</v>
      </c>
      <c r="U15" s="123">
        <f t="shared" si="8"/>
        <v>10</v>
      </c>
      <c r="V15" s="123">
        <f t="shared" si="10"/>
        <v>8.0882352941176467</v>
      </c>
      <c r="W15" s="123">
        <f t="shared" si="12"/>
        <v>6.4705882352941178</v>
      </c>
      <c r="X15" s="123">
        <f t="shared" si="14"/>
        <v>5.2380952380952381</v>
      </c>
      <c r="Y15" s="123">
        <f t="shared" si="16"/>
        <v>4.2307692307692308</v>
      </c>
      <c r="Z15" s="123"/>
      <c r="AA15" s="123"/>
      <c r="AB15" s="123"/>
      <c r="AC15" s="21">
        <v>110</v>
      </c>
      <c r="AD15" s="124">
        <f t="shared" si="2"/>
        <v>-1.818181818181715E-3</v>
      </c>
      <c r="AE15" s="124">
        <f t="shared" si="3"/>
        <v>1.581818181818179E-2</v>
      </c>
      <c r="AF15" s="124">
        <f t="shared" si="4"/>
        <v>6.363636363636487E-3</v>
      </c>
      <c r="AG15" s="124">
        <f t="shared" si="9"/>
        <v>0</v>
      </c>
      <c r="AH15" s="124">
        <f t="shared" si="11"/>
        <v>1.4545454545454495E-3</v>
      </c>
      <c r="AI15" s="124">
        <f t="shared" si="13"/>
        <v>1.9999999999999928E-2</v>
      </c>
      <c r="AJ15" s="124">
        <f t="shared" si="15"/>
        <v>1.1818181818181776E-2</v>
      </c>
      <c r="AK15" s="124">
        <f t="shared" si="17"/>
        <v>-7.2727272727272467E-3</v>
      </c>
      <c r="AL15" s="124"/>
      <c r="AM15" s="124"/>
    </row>
    <row r="16" spans="1:39" x14ac:dyDescent="0.35">
      <c r="A16" s="6" t="s">
        <v>12</v>
      </c>
      <c r="B16" s="21">
        <v>125</v>
      </c>
      <c r="C16" s="13">
        <v>20.8</v>
      </c>
      <c r="D16" s="6">
        <v>17.100000000000001</v>
      </c>
      <c r="E16" s="11">
        <v>14</v>
      </c>
      <c r="F16" s="6">
        <v>11.4</v>
      </c>
      <c r="G16" s="11">
        <v>9.1999999999999993</v>
      </c>
      <c r="H16" s="6">
        <v>7.4</v>
      </c>
      <c r="I16" s="11">
        <v>6</v>
      </c>
      <c r="J16" s="6">
        <v>4.8</v>
      </c>
      <c r="K16" s="11"/>
      <c r="L16" s="6"/>
      <c r="Q16" s="21">
        <v>125</v>
      </c>
      <c r="R16" s="123">
        <f t="shared" si="5"/>
        <v>20.833333333333332</v>
      </c>
      <c r="S16" s="123">
        <f t="shared" si="6"/>
        <v>16.891891891891891</v>
      </c>
      <c r="T16" s="123">
        <f t="shared" si="7"/>
        <v>13.888888888888889</v>
      </c>
      <c r="U16" s="123">
        <f t="shared" si="8"/>
        <v>11.363636363636363</v>
      </c>
      <c r="V16" s="123">
        <f t="shared" si="10"/>
        <v>9.1911764705882355</v>
      </c>
      <c r="W16" s="123">
        <f t="shared" si="12"/>
        <v>7.3529411764705879</v>
      </c>
      <c r="X16" s="123">
        <f t="shared" si="14"/>
        <v>5.9523809523809526</v>
      </c>
      <c r="Y16" s="123">
        <f t="shared" si="16"/>
        <v>4.8076923076923075</v>
      </c>
      <c r="Z16" s="123"/>
      <c r="AA16" s="123"/>
      <c r="AB16" s="123"/>
      <c r="AC16" s="21">
        <v>125</v>
      </c>
      <c r="AD16" s="124">
        <f t="shared" si="2"/>
        <v>-1.5999999999999092E-3</v>
      </c>
      <c r="AE16" s="124">
        <f t="shared" si="3"/>
        <v>1.2320000000000124E-2</v>
      </c>
      <c r="AF16" s="124">
        <f t="shared" si="4"/>
        <v>7.9999999999999707E-3</v>
      </c>
      <c r="AG16" s="124">
        <f t="shared" si="9"/>
        <v>3.2000000000000596E-3</v>
      </c>
      <c r="AH16" s="124">
        <f t="shared" si="11"/>
        <v>9.5999999999989995E-4</v>
      </c>
      <c r="AI16" s="124">
        <f t="shared" si="13"/>
        <v>6.4000000000000983E-3</v>
      </c>
      <c r="AJ16" s="124">
        <f t="shared" si="15"/>
        <v>7.9999999999999707E-3</v>
      </c>
      <c r="AK16" s="124">
        <f t="shared" si="17"/>
        <v>-1.5999999999999944E-3</v>
      </c>
      <c r="AL16" s="124"/>
      <c r="AM16" s="124"/>
    </row>
    <row r="17" spans="1:39" x14ac:dyDescent="0.35">
      <c r="A17" s="6" t="s">
        <v>13</v>
      </c>
      <c r="B17" s="21">
        <v>140</v>
      </c>
      <c r="C17" s="13">
        <v>23.3</v>
      </c>
      <c r="D17" s="6">
        <v>19.2</v>
      </c>
      <c r="E17" s="11">
        <v>15.7</v>
      </c>
      <c r="F17" s="6">
        <v>12.7</v>
      </c>
      <c r="G17" s="11">
        <v>10.3</v>
      </c>
      <c r="H17" s="6">
        <v>8.3000000000000007</v>
      </c>
      <c r="I17" s="11">
        <v>6.7</v>
      </c>
      <c r="J17" s="6">
        <v>5.4</v>
      </c>
      <c r="K17" s="11"/>
      <c r="L17" s="6"/>
      <c r="Q17" s="21">
        <v>140</v>
      </c>
      <c r="R17" s="123">
        <f t="shared" si="5"/>
        <v>23.333333333333332</v>
      </c>
      <c r="S17" s="123">
        <f t="shared" si="6"/>
        <v>18.918918918918919</v>
      </c>
      <c r="T17" s="123">
        <f t="shared" si="7"/>
        <v>15.555555555555555</v>
      </c>
      <c r="U17" s="123">
        <f t="shared" si="8"/>
        <v>12.727272727272727</v>
      </c>
      <c r="V17" s="123">
        <f t="shared" si="10"/>
        <v>10.294117647058824</v>
      </c>
      <c r="W17" s="123">
        <f t="shared" si="12"/>
        <v>8.235294117647058</v>
      </c>
      <c r="X17" s="123">
        <f t="shared" si="14"/>
        <v>6.666666666666667</v>
      </c>
      <c r="Y17" s="123">
        <f t="shared" si="16"/>
        <v>5.384615384615385</v>
      </c>
      <c r="Z17" s="123"/>
      <c r="AA17" s="123"/>
      <c r="AB17" s="123"/>
      <c r="AC17" s="21">
        <v>140</v>
      </c>
      <c r="AD17" s="124">
        <f t="shared" si="2"/>
        <v>-1.4285714285713475E-3</v>
      </c>
      <c r="AE17" s="124">
        <f t="shared" si="3"/>
        <v>1.48571428571428E-2</v>
      </c>
      <c r="AF17" s="124">
        <f t="shared" si="4"/>
        <v>9.2857142857142531E-3</v>
      </c>
      <c r="AG17" s="124">
        <f t="shared" si="9"/>
        <v>-2.1428571428571482E-3</v>
      </c>
      <c r="AH17" s="124">
        <f t="shared" si="11"/>
        <v>5.7142857142856941E-4</v>
      </c>
      <c r="AI17" s="124">
        <f t="shared" si="13"/>
        <v>7.857142857143045E-3</v>
      </c>
      <c r="AJ17" s="124">
        <f t="shared" si="15"/>
        <v>4.9999999999999819E-3</v>
      </c>
      <c r="AK17" s="124">
        <f t="shared" si="17"/>
        <v>2.8571428571428467E-3</v>
      </c>
      <c r="AL17" s="124"/>
      <c r="AM17" s="124"/>
    </row>
    <row r="18" spans="1:39" x14ac:dyDescent="0.35">
      <c r="A18" s="6" t="s">
        <v>12</v>
      </c>
      <c r="B18" s="21">
        <v>160</v>
      </c>
      <c r="C18" s="13">
        <v>26.6</v>
      </c>
      <c r="D18" s="6">
        <v>21.9</v>
      </c>
      <c r="E18" s="11">
        <v>17.899999999999999</v>
      </c>
      <c r="F18" s="6">
        <v>14.6</v>
      </c>
      <c r="G18" s="11">
        <v>11.8</v>
      </c>
      <c r="H18" s="6">
        <v>9.5</v>
      </c>
      <c r="I18" s="11">
        <v>7.7</v>
      </c>
      <c r="J18" s="6">
        <v>6.2</v>
      </c>
      <c r="K18" s="11"/>
      <c r="L18" s="6"/>
      <c r="Q18" s="21">
        <v>160</v>
      </c>
      <c r="R18" s="123">
        <f t="shared" si="5"/>
        <v>26.666666666666668</v>
      </c>
      <c r="S18" s="123">
        <f t="shared" si="6"/>
        <v>21.621621621621621</v>
      </c>
      <c r="T18" s="123">
        <f t="shared" si="7"/>
        <v>17.777777777777779</v>
      </c>
      <c r="U18" s="123">
        <f t="shared" si="8"/>
        <v>14.545454545454545</v>
      </c>
      <c r="V18" s="123">
        <f t="shared" si="10"/>
        <v>11.764705882352942</v>
      </c>
      <c r="W18" s="123">
        <f t="shared" si="12"/>
        <v>9.4117647058823533</v>
      </c>
      <c r="X18" s="123">
        <f t="shared" si="14"/>
        <v>7.6190476190476186</v>
      </c>
      <c r="Y18" s="123">
        <f t="shared" si="16"/>
        <v>6.1538461538461542</v>
      </c>
      <c r="Z18" s="123"/>
      <c r="AA18" s="123"/>
      <c r="AB18" s="123"/>
      <c r="AC18" s="21">
        <v>160</v>
      </c>
      <c r="AD18" s="124">
        <f t="shared" si="2"/>
        <v>-2.4999999999999909E-3</v>
      </c>
      <c r="AE18" s="124">
        <f t="shared" si="3"/>
        <v>1.2874999999999961E-2</v>
      </c>
      <c r="AF18" s="124">
        <f t="shared" si="4"/>
        <v>6.8749999999998751E-3</v>
      </c>
      <c r="AG18" s="124">
        <f t="shared" si="9"/>
        <v>3.750000000000009E-3</v>
      </c>
      <c r="AH18" s="124">
        <f t="shared" si="11"/>
        <v>2.9999999999999892E-3</v>
      </c>
      <c r="AI18" s="124">
        <f t="shared" si="13"/>
        <v>9.3749999999999667E-3</v>
      </c>
      <c r="AJ18" s="124">
        <f t="shared" si="15"/>
        <v>1.0625000000000079E-2</v>
      </c>
      <c r="AK18" s="124">
        <f t="shared" si="17"/>
        <v>7.4999999999999728E-3</v>
      </c>
      <c r="AL18" s="124"/>
      <c r="AM18" s="124"/>
    </row>
    <row r="19" spans="1:39" x14ac:dyDescent="0.35">
      <c r="A19" s="6" t="s">
        <v>12</v>
      </c>
      <c r="B19" s="21">
        <v>180</v>
      </c>
      <c r="C19" s="13">
        <v>29.9</v>
      </c>
      <c r="D19" s="6">
        <v>24.6</v>
      </c>
      <c r="E19" s="11">
        <v>20.100000000000001</v>
      </c>
      <c r="F19" s="6">
        <v>16.399999999999999</v>
      </c>
      <c r="G19" s="11">
        <v>13.3</v>
      </c>
      <c r="H19" s="6">
        <v>10.7</v>
      </c>
      <c r="I19" s="11">
        <v>8.6</v>
      </c>
      <c r="J19" s="6">
        <v>6.9</v>
      </c>
      <c r="K19" s="11"/>
      <c r="L19" s="6"/>
      <c r="Q19" s="21">
        <v>180</v>
      </c>
      <c r="R19" s="123">
        <f t="shared" si="5"/>
        <v>30</v>
      </c>
      <c r="S19" s="123">
        <f t="shared" si="6"/>
        <v>24.324324324324323</v>
      </c>
      <c r="T19" s="123">
        <f t="shared" si="7"/>
        <v>20</v>
      </c>
      <c r="U19" s="123">
        <f t="shared" si="8"/>
        <v>16.363636363636363</v>
      </c>
      <c r="V19" s="123">
        <f t="shared" si="10"/>
        <v>13.23529411764706</v>
      </c>
      <c r="W19" s="123">
        <f t="shared" si="12"/>
        <v>10.588235294117647</v>
      </c>
      <c r="X19" s="123">
        <f t="shared" si="14"/>
        <v>8.5714285714285712</v>
      </c>
      <c r="Y19" s="123">
        <f t="shared" si="16"/>
        <v>6.9230769230769234</v>
      </c>
      <c r="Z19" s="123"/>
      <c r="AA19" s="123"/>
      <c r="AB19" s="123"/>
      <c r="AC19" s="21">
        <v>180</v>
      </c>
      <c r="AD19" s="124">
        <f t="shared" si="2"/>
        <v>-3.3333333333333808E-3</v>
      </c>
      <c r="AE19" s="124">
        <f t="shared" si="3"/>
        <v>1.1333333333333456E-2</v>
      </c>
      <c r="AF19" s="124">
        <f t="shared" si="4"/>
        <v>5.0000000000000712E-3</v>
      </c>
      <c r="AG19" s="124">
        <f t="shared" si="9"/>
        <v>2.222222222222155E-3</v>
      </c>
      <c r="AH19" s="124">
        <f t="shared" si="11"/>
        <v>4.8888888888888715E-3</v>
      </c>
      <c r="AI19" s="124">
        <f t="shared" si="13"/>
        <v>1.0555555555555518E-2</v>
      </c>
      <c r="AJ19" s="124">
        <f t="shared" si="15"/>
        <v>3.3333333333333214E-3</v>
      </c>
      <c r="AK19" s="124">
        <f t="shared" si="17"/>
        <v>-3.3333333333333214E-3</v>
      </c>
      <c r="AL19" s="124"/>
      <c r="AM19" s="124"/>
    </row>
    <row r="20" spans="1:39" x14ac:dyDescent="0.35">
      <c r="A20" s="6" t="s">
        <v>13</v>
      </c>
      <c r="B20" s="21">
        <v>200</v>
      </c>
      <c r="C20" s="13">
        <v>33.200000000000003</v>
      </c>
      <c r="D20" s="6">
        <v>27.4</v>
      </c>
      <c r="E20" s="11">
        <v>22.4</v>
      </c>
      <c r="F20" s="6">
        <v>18.2</v>
      </c>
      <c r="G20" s="11">
        <v>14.7</v>
      </c>
      <c r="H20" s="6">
        <v>11.9</v>
      </c>
      <c r="I20" s="11">
        <v>9.6</v>
      </c>
      <c r="J20" s="6">
        <v>7.7</v>
      </c>
      <c r="K20" s="11"/>
      <c r="L20" s="6"/>
      <c r="Q20" s="21">
        <v>200</v>
      </c>
      <c r="R20" s="123">
        <f t="shared" si="5"/>
        <v>33.333333333333336</v>
      </c>
      <c r="S20" s="123">
        <f t="shared" si="6"/>
        <v>27.027027027027025</v>
      </c>
      <c r="T20" s="123">
        <f t="shared" si="7"/>
        <v>22.222222222222221</v>
      </c>
      <c r="U20" s="123">
        <f t="shared" si="8"/>
        <v>18.181818181818183</v>
      </c>
      <c r="V20" s="123">
        <f t="shared" si="10"/>
        <v>14.705882352941178</v>
      </c>
      <c r="W20" s="123">
        <f t="shared" si="12"/>
        <v>11.764705882352942</v>
      </c>
      <c r="X20" s="123">
        <f t="shared" si="14"/>
        <v>9.5238095238095237</v>
      </c>
      <c r="Y20" s="123">
        <f t="shared" si="16"/>
        <v>7.6923076923076925</v>
      </c>
      <c r="Z20" s="123"/>
      <c r="AA20" s="123"/>
      <c r="AB20" s="123"/>
      <c r="AC20" s="21">
        <v>200</v>
      </c>
      <c r="AD20" s="124">
        <f t="shared" si="2"/>
        <v>-3.9999999999999853E-3</v>
      </c>
      <c r="AE20" s="124">
        <f t="shared" si="3"/>
        <v>1.3800000000000041E-2</v>
      </c>
      <c r="AF20" s="124">
        <f t="shared" si="4"/>
        <v>7.9999999999999724E-3</v>
      </c>
      <c r="AG20" s="124">
        <f t="shared" si="9"/>
        <v>9.9999999999987208E-4</v>
      </c>
      <c r="AH20" s="124">
        <f t="shared" si="11"/>
        <v>-4.0000000000011934E-4</v>
      </c>
      <c r="AI20" s="124">
        <f t="shared" si="13"/>
        <v>1.1499999999999958E-2</v>
      </c>
      <c r="AJ20" s="124">
        <f t="shared" si="15"/>
        <v>7.9999999999999724E-3</v>
      </c>
      <c r="AK20" s="124">
        <f t="shared" si="17"/>
        <v>9.9999999999999633E-4</v>
      </c>
      <c r="AL20" s="124"/>
      <c r="AM20" s="124"/>
    </row>
    <row r="21" spans="1:39" x14ac:dyDescent="0.35">
      <c r="A21" s="6" t="s">
        <v>12</v>
      </c>
      <c r="B21" s="21">
        <v>225</v>
      </c>
      <c r="C21" s="13">
        <v>37.4</v>
      </c>
      <c r="D21" s="6">
        <v>30.8</v>
      </c>
      <c r="E21" s="11">
        <v>25.2</v>
      </c>
      <c r="F21" s="6">
        <v>20.5</v>
      </c>
      <c r="G21" s="11">
        <v>16.600000000000001</v>
      </c>
      <c r="H21" s="6">
        <v>13.4</v>
      </c>
      <c r="I21" s="11">
        <v>10.8</v>
      </c>
      <c r="J21" s="6">
        <v>8.6</v>
      </c>
      <c r="K21" s="11"/>
      <c r="L21" s="6"/>
      <c r="Q21" s="21">
        <v>225</v>
      </c>
      <c r="R21" s="123">
        <f t="shared" si="5"/>
        <v>37.5</v>
      </c>
      <c r="S21" s="123">
        <f t="shared" si="6"/>
        <v>30.405405405405403</v>
      </c>
      <c r="T21" s="123">
        <f t="shared" si="7"/>
        <v>25</v>
      </c>
      <c r="U21" s="123">
        <f t="shared" si="8"/>
        <v>20.454545454545453</v>
      </c>
      <c r="V21" s="123">
        <f t="shared" si="10"/>
        <v>16.544117647058822</v>
      </c>
      <c r="W21" s="123">
        <f t="shared" si="12"/>
        <v>13.235294117647058</v>
      </c>
      <c r="X21" s="123">
        <f t="shared" si="14"/>
        <v>10.714285714285714</v>
      </c>
      <c r="Y21" s="123">
        <f t="shared" si="16"/>
        <v>8.6538461538461533</v>
      </c>
      <c r="Z21" s="123"/>
      <c r="AA21" s="123"/>
      <c r="AB21" s="123"/>
      <c r="AC21" s="21">
        <v>225</v>
      </c>
      <c r="AD21" s="124">
        <f t="shared" si="2"/>
        <v>-2.6666666666667047E-3</v>
      </c>
      <c r="AE21" s="124">
        <f t="shared" si="3"/>
        <v>1.2977777777777866E-2</v>
      </c>
      <c r="AF21" s="124">
        <f t="shared" si="4"/>
        <v>7.9999999999999724E-3</v>
      </c>
      <c r="AG21" s="124">
        <f t="shared" si="9"/>
        <v>2.2222222222222855E-3</v>
      </c>
      <c r="AH21" s="124">
        <f t="shared" si="11"/>
        <v>3.3777777777779269E-3</v>
      </c>
      <c r="AI21" s="124">
        <f t="shared" si="13"/>
        <v>1.2444444444444536E-2</v>
      </c>
      <c r="AJ21" s="124">
        <f t="shared" si="15"/>
        <v>8.0000000000001372E-3</v>
      </c>
      <c r="AK21" s="124">
        <f t="shared" si="17"/>
        <v>-6.2222222222222002E-3</v>
      </c>
      <c r="AL21" s="124"/>
      <c r="AM21" s="124"/>
    </row>
    <row r="22" spans="1:39" x14ac:dyDescent="0.35">
      <c r="A22" s="6" t="s">
        <v>12</v>
      </c>
      <c r="B22" s="21">
        <v>250</v>
      </c>
      <c r="C22" s="13">
        <v>41.5</v>
      </c>
      <c r="D22" s="6">
        <v>34.200000000000003</v>
      </c>
      <c r="E22" s="11">
        <v>27.9</v>
      </c>
      <c r="F22" s="6">
        <v>22.7</v>
      </c>
      <c r="G22" s="11">
        <v>18.399999999999999</v>
      </c>
      <c r="H22" s="6">
        <v>14.8</v>
      </c>
      <c r="I22" s="11">
        <v>11.9</v>
      </c>
      <c r="J22" s="6">
        <v>9.6</v>
      </c>
      <c r="K22" s="11"/>
      <c r="L22" s="6"/>
      <c r="Q22" s="21">
        <v>250</v>
      </c>
      <c r="R22" s="123">
        <f t="shared" si="5"/>
        <v>41.666666666666664</v>
      </c>
      <c r="S22" s="123">
        <f t="shared" si="6"/>
        <v>33.783783783783782</v>
      </c>
      <c r="T22" s="123">
        <f t="shared" si="7"/>
        <v>27.777777777777779</v>
      </c>
      <c r="U22" s="123">
        <f t="shared" si="8"/>
        <v>22.727272727272727</v>
      </c>
      <c r="V22" s="123">
        <f t="shared" si="10"/>
        <v>18.382352941176471</v>
      </c>
      <c r="W22" s="123">
        <f t="shared" si="12"/>
        <v>14.705882352941176</v>
      </c>
      <c r="X22" s="123">
        <f t="shared" si="14"/>
        <v>11.904761904761905</v>
      </c>
      <c r="Y22" s="123">
        <f t="shared" si="16"/>
        <v>9.615384615384615</v>
      </c>
      <c r="Z22" s="123"/>
      <c r="AA22" s="123"/>
      <c r="AB22" s="123"/>
      <c r="AC22" s="21">
        <v>250</v>
      </c>
      <c r="AD22" s="124">
        <f t="shared" si="2"/>
        <v>-3.9999999999999437E-3</v>
      </c>
      <c r="AE22" s="124">
        <f t="shared" si="3"/>
        <v>1.2320000000000124E-2</v>
      </c>
      <c r="AF22" s="124">
        <f t="shared" si="4"/>
        <v>4.3999999999999205E-3</v>
      </c>
      <c r="AG22" s="124">
        <f t="shared" si="9"/>
        <v>-1.2000000000000029E-3</v>
      </c>
      <c r="AH22" s="124">
        <f t="shared" si="11"/>
        <v>9.5999999999989995E-4</v>
      </c>
      <c r="AI22" s="124">
        <f t="shared" si="13"/>
        <v>6.4000000000000983E-3</v>
      </c>
      <c r="AJ22" s="124">
        <f t="shared" si="15"/>
        <v>-3.9999999999999856E-4</v>
      </c>
      <c r="AK22" s="124">
        <f t="shared" si="17"/>
        <v>-1.5999999999999944E-3</v>
      </c>
      <c r="AL22" s="124"/>
      <c r="AM22" s="124"/>
    </row>
    <row r="23" spans="1:39" x14ac:dyDescent="0.35">
      <c r="A23" s="6" t="s">
        <v>12</v>
      </c>
      <c r="B23" s="21">
        <v>280</v>
      </c>
      <c r="C23" s="13">
        <v>46.5</v>
      </c>
      <c r="D23" s="6">
        <v>38.299999999999997</v>
      </c>
      <c r="E23" s="11">
        <v>31.3</v>
      </c>
      <c r="F23" s="6">
        <v>25.4</v>
      </c>
      <c r="G23" s="11">
        <v>20.6</v>
      </c>
      <c r="H23" s="6">
        <v>16.600000000000001</v>
      </c>
      <c r="I23" s="11">
        <v>13.4</v>
      </c>
      <c r="J23" s="6">
        <v>10.7</v>
      </c>
      <c r="K23" s="11"/>
      <c r="L23" s="6"/>
      <c r="Q23" s="21">
        <v>280</v>
      </c>
      <c r="R23" s="123">
        <f t="shared" si="5"/>
        <v>46.666666666666664</v>
      </c>
      <c r="S23" s="123">
        <f t="shared" si="6"/>
        <v>37.837837837837839</v>
      </c>
      <c r="T23" s="123">
        <f t="shared" si="7"/>
        <v>31.111111111111111</v>
      </c>
      <c r="U23" s="123">
        <f t="shared" si="8"/>
        <v>25.454545454545453</v>
      </c>
      <c r="V23" s="123">
        <f t="shared" si="10"/>
        <v>20.588235294117649</v>
      </c>
      <c r="W23" s="123">
        <f t="shared" si="12"/>
        <v>16.470588235294116</v>
      </c>
      <c r="X23" s="123">
        <f t="shared" si="14"/>
        <v>13.333333333333334</v>
      </c>
      <c r="Y23" s="123">
        <f t="shared" si="16"/>
        <v>10.76923076923077</v>
      </c>
      <c r="Z23" s="123"/>
      <c r="AA23" s="123"/>
      <c r="AB23" s="123"/>
      <c r="AC23" s="21">
        <v>280</v>
      </c>
      <c r="AD23" s="124">
        <f t="shared" si="2"/>
        <v>-3.571428571428521E-3</v>
      </c>
      <c r="AE23" s="124">
        <f t="shared" si="3"/>
        <v>1.2214285714285619E-2</v>
      </c>
      <c r="AF23" s="124">
        <f t="shared" si="4"/>
        <v>6.0714285714286069E-3</v>
      </c>
      <c r="AG23" s="124">
        <f t="shared" si="9"/>
        <v>-2.1428571428571482E-3</v>
      </c>
      <c r="AH23" s="124">
        <f t="shared" si="11"/>
        <v>5.7142857142856941E-4</v>
      </c>
      <c r="AI23" s="124">
        <f t="shared" si="13"/>
        <v>7.857142857143045E-3</v>
      </c>
      <c r="AJ23" s="124">
        <f t="shared" si="15"/>
        <v>4.9999999999999819E-3</v>
      </c>
      <c r="AK23" s="124">
        <f t="shared" si="17"/>
        <v>-6.4285714285715698E-3</v>
      </c>
      <c r="AL23" s="124"/>
      <c r="AM23" s="124"/>
    </row>
    <row r="24" spans="1:39" x14ac:dyDescent="0.35">
      <c r="A24" s="6" t="s">
        <v>12</v>
      </c>
      <c r="B24" s="21">
        <v>315</v>
      </c>
      <c r="C24" s="13">
        <v>52.3</v>
      </c>
      <c r="D24" s="6">
        <v>43.1</v>
      </c>
      <c r="E24" s="11">
        <v>35.200000000000003</v>
      </c>
      <c r="F24" s="6">
        <v>28.6</v>
      </c>
      <c r="G24" s="11">
        <v>23.2</v>
      </c>
      <c r="H24" s="6">
        <v>18.7</v>
      </c>
      <c r="I24" s="11">
        <v>15</v>
      </c>
      <c r="J24" s="6">
        <v>12.1</v>
      </c>
      <c r="K24" s="11">
        <v>9.6999999999999993</v>
      </c>
      <c r="L24" s="6">
        <v>7.7</v>
      </c>
      <c r="Q24" s="21">
        <v>315</v>
      </c>
      <c r="R24" s="123">
        <f t="shared" si="5"/>
        <v>52.5</v>
      </c>
      <c r="S24" s="123">
        <f t="shared" si="6"/>
        <v>42.567567567567565</v>
      </c>
      <c r="T24" s="123">
        <f t="shared" si="7"/>
        <v>35</v>
      </c>
      <c r="U24" s="123">
        <f t="shared" si="8"/>
        <v>28.636363636363637</v>
      </c>
      <c r="V24" s="123">
        <f t="shared" si="10"/>
        <v>23.161764705882355</v>
      </c>
      <c r="W24" s="123">
        <f t="shared" si="12"/>
        <v>18.529411764705884</v>
      </c>
      <c r="X24" s="123">
        <f t="shared" si="14"/>
        <v>15</v>
      </c>
      <c r="Y24" s="123">
        <f t="shared" si="16"/>
        <v>12.115384615384615</v>
      </c>
      <c r="Z24" s="123">
        <f t="shared" si="16"/>
        <v>9.545454545454545</v>
      </c>
      <c r="AA24" s="123">
        <f t="shared" si="16"/>
        <v>7.6829268292682924</v>
      </c>
      <c r="AB24" s="123"/>
      <c r="AC24" s="21">
        <v>315</v>
      </c>
      <c r="AD24" s="124">
        <f t="shared" si="2"/>
        <v>-3.8095238095238637E-3</v>
      </c>
      <c r="AE24" s="124">
        <f t="shared" si="3"/>
        <v>1.2507936507936605E-2</v>
      </c>
      <c r="AF24" s="124">
        <f t="shared" si="4"/>
        <v>5.7142857142857958E-3</v>
      </c>
      <c r="AG24" s="124">
        <f t="shared" si="9"/>
        <v>-1.2698412698412315E-3</v>
      </c>
      <c r="AH24" s="124">
        <f t="shared" si="11"/>
        <v>1.6507936507935298E-3</v>
      </c>
      <c r="AI24" s="124">
        <f t="shared" si="13"/>
        <v>9.2063492063490775E-3</v>
      </c>
      <c r="AJ24" s="124">
        <f t="shared" si="15"/>
        <v>0</v>
      </c>
      <c r="AK24" s="124">
        <f t="shared" si="17"/>
        <v>-1.2698412698412653E-3</v>
      </c>
      <c r="AL24" s="124">
        <f t="shared" ref="AL24:AL41" si="18">(K24-Z24)/Z24</f>
        <v>1.6190476190476168E-2</v>
      </c>
      <c r="AM24" s="124">
        <f t="shared" ref="AM24:AM41" si="19">(L24-AA24)/AA24</f>
        <v>2.2222222222222821E-3</v>
      </c>
    </row>
    <row r="25" spans="1:39" x14ac:dyDescent="0.35">
      <c r="A25" s="6" t="s">
        <v>12</v>
      </c>
      <c r="B25" s="21">
        <v>355</v>
      </c>
      <c r="C25" s="13">
        <v>59</v>
      </c>
      <c r="D25" s="6">
        <v>48.5</v>
      </c>
      <c r="E25" s="11">
        <v>39.700000000000003</v>
      </c>
      <c r="F25" s="6">
        <v>32.200000000000003</v>
      </c>
      <c r="G25" s="11">
        <v>26.1</v>
      </c>
      <c r="H25" s="6">
        <v>21.1</v>
      </c>
      <c r="I25" s="11">
        <v>16.899999999999999</v>
      </c>
      <c r="J25" s="6">
        <v>13.6</v>
      </c>
      <c r="K25" s="11">
        <v>10.9</v>
      </c>
      <c r="L25" s="6">
        <v>8.6999999999999993</v>
      </c>
      <c r="Q25" s="21">
        <v>355</v>
      </c>
      <c r="R25" s="123">
        <f t="shared" si="5"/>
        <v>59.166666666666664</v>
      </c>
      <c r="S25" s="123">
        <f t="shared" si="6"/>
        <v>47.972972972972968</v>
      </c>
      <c r="T25" s="123">
        <f t="shared" si="7"/>
        <v>39.444444444444443</v>
      </c>
      <c r="U25" s="123">
        <f t="shared" si="8"/>
        <v>32.272727272727273</v>
      </c>
      <c r="V25" s="123">
        <f t="shared" si="10"/>
        <v>26.102941176470591</v>
      </c>
      <c r="W25" s="123">
        <f t="shared" si="12"/>
        <v>20.882352941176471</v>
      </c>
      <c r="X25" s="123">
        <f t="shared" si="14"/>
        <v>16.904761904761905</v>
      </c>
      <c r="Y25" s="123">
        <f t="shared" si="16"/>
        <v>13.653846153846153</v>
      </c>
      <c r="Z25" s="123">
        <f t="shared" si="16"/>
        <v>10.757575757575758</v>
      </c>
      <c r="AA25" s="123">
        <f t="shared" si="16"/>
        <v>8.6585365853658534</v>
      </c>
      <c r="AB25" s="123"/>
      <c r="AC25" s="21">
        <v>355</v>
      </c>
      <c r="AD25" s="124">
        <f t="shared" si="2"/>
        <v>-2.8169014084506645E-3</v>
      </c>
      <c r="AE25" s="124">
        <f t="shared" si="3"/>
        <v>1.0985915492957844E-2</v>
      </c>
      <c r="AF25" s="124">
        <f t="shared" si="4"/>
        <v>6.4788732394367322E-3</v>
      </c>
      <c r="AG25" s="124">
        <f t="shared" si="9"/>
        <v>-2.2535211267604954E-3</v>
      </c>
      <c r="AH25" s="124">
        <f t="shared" si="11"/>
        <v>-1.1267605633806178E-4</v>
      </c>
      <c r="AI25" s="124">
        <f t="shared" si="13"/>
        <v>1.0422535211267653E-2</v>
      </c>
      <c r="AJ25" s="124">
        <f t="shared" si="15"/>
        <v>-2.8169014084517452E-4</v>
      </c>
      <c r="AK25" s="124">
        <f t="shared" si="17"/>
        <v>-3.9436619718309718E-3</v>
      </c>
      <c r="AL25" s="124">
        <f t="shared" si="18"/>
        <v>1.3239436619718322E-2</v>
      </c>
      <c r="AM25" s="124">
        <f t="shared" si="19"/>
        <v>4.7887323943661504E-3</v>
      </c>
    </row>
    <row r="26" spans="1:39" x14ac:dyDescent="0.35">
      <c r="A26" s="6" t="s">
        <v>12</v>
      </c>
      <c r="B26" s="21">
        <v>400</v>
      </c>
      <c r="C26" s="13"/>
      <c r="D26" s="6">
        <v>54.7</v>
      </c>
      <c r="E26" s="11">
        <v>44.7</v>
      </c>
      <c r="F26" s="6">
        <v>36.299999999999997</v>
      </c>
      <c r="G26" s="11">
        <v>29.4</v>
      </c>
      <c r="H26" s="6">
        <v>23.7</v>
      </c>
      <c r="I26" s="11">
        <v>19.100000000000001</v>
      </c>
      <c r="J26" s="6">
        <v>15.3</v>
      </c>
      <c r="K26" s="11">
        <v>12.3</v>
      </c>
      <c r="L26" s="6">
        <v>9.8000000000000007</v>
      </c>
      <c r="Q26" s="21">
        <v>400</v>
      </c>
      <c r="R26" s="123"/>
      <c r="S26" s="123">
        <f t="shared" si="6"/>
        <v>54.054054054054049</v>
      </c>
      <c r="T26" s="123">
        <f t="shared" si="7"/>
        <v>44.444444444444443</v>
      </c>
      <c r="U26" s="123">
        <f t="shared" si="8"/>
        <v>36.363636363636367</v>
      </c>
      <c r="V26" s="123">
        <f t="shared" si="10"/>
        <v>29.411764705882355</v>
      </c>
      <c r="W26" s="123">
        <f t="shared" si="12"/>
        <v>23.529411764705884</v>
      </c>
      <c r="X26" s="123">
        <f t="shared" si="14"/>
        <v>19.047619047619047</v>
      </c>
      <c r="Y26" s="123">
        <f t="shared" si="16"/>
        <v>15.384615384615385</v>
      </c>
      <c r="Z26" s="123">
        <f t="shared" si="16"/>
        <v>12.121212121212121</v>
      </c>
      <c r="AA26" s="123">
        <f t="shared" si="16"/>
        <v>9.7560975609756095</v>
      </c>
      <c r="AB26" s="123"/>
      <c r="AC26" s="21">
        <v>400</v>
      </c>
      <c r="AD26" s="124"/>
      <c r="AE26" s="124">
        <f>(D26-S26)/S26</f>
        <v>1.1950000000000146E-2</v>
      </c>
      <c r="AF26" s="124">
        <f>(E26-T26)/T26</f>
        <v>5.7500000000000996E-3</v>
      </c>
      <c r="AG26" s="124">
        <f t="shared" si="9"/>
        <v>-1.7500000000001668E-3</v>
      </c>
      <c r="AH26" s="124">
        <f t="shared" si="11"/>
        <v>-4.0000000000011934E-4</v>
      </c>
      <c r="AI26" s="124">
        <f t="shared" si="13"/>
        <v>7.249999999999898E-3</v>
      </c>
      <c r="AJ26" s="124">
        <f t="shared" si="15"/>
        <v>2.7500000000000835E-3</v>
      </c>
      <c r="AK26" s="124">
        <f t="shared" si="17"/>
        <v>-5.4999999999999806E-3</v>
      </c>
      <c r="AL26" s="124">
        <f t="shared" si="18"/>
        <v>1.4750000000000067E-2</v>
      </c>
      <c r="AM26" s="124">
        <f t="shared" si="19"/>
        <v>4.5000000000000951E-3</v>
      </c>
    </row>
    <row r="27" spans="1:39" x14ac:dyDescent="0.35">
      <c r="A27" s="6" t="s">
        <v>13</v>
      </c>
      <c r="B27" s="21">
        <v>450</v>
      </c>
      <c r="C27" s="13"/>
      <c r="D27" s="6">
        <v>61.5</v>
      </c>
      <c r="E27" s="11">
        <v>50.3</v>
      </c>
      <c r="F27" s="6">
        <v>40.9</v>
      </c>
      <c r="G27" s="11">
        <v>33.1</v>
      </c>
      <c r="H27" s="6">
        <v>26.7</v>
      </c>
      <c r="I27" s="11">
        <v>21.5</v>
      </c>
      <c r="J27" s="6">
        <v>17.2</v>
      </c>
      <c r="K27" s="11">
        <v>13.8</v>
      </c>
      <c r="L27" s="6">
        <v>11</v>
      </c>
      <c r="Q27" s="21">
        <v>450</v>
      </c>
      <c r="R27" s="123"/>
      <c r="S27" s="123">
        <f t="shared" si="6"/>
        <v>60.810810810810807</v>
      </c>
      <c r="T27" s="123">
        <f t="shared" si="7"/>
        <v>50</v>
      </c>
      <c r="U27" s="123">
        <f t="shared" si="8"/>
        <v>40.909090909090907</v>
      </c>
      <c r="V27" s="123">
        <f t="shared" si="10"/>
        <v>33.088235294117645</v>
      </c>
      <c r="W27" s="123">
        <f t="shared" si="12"/>
        <v>26.470588235294116</v>
      </c>
      <c r="X27" s="123">
        <f t="shared" si="14"/>
        <v>21.428571428571427</v>
      </c>
      <c r="Y27" s="123">
        <f t="shared" si="16"/>
        <v>17.307692307692307</v>
      </c>
      <c r="Z27" s="123">
        <f t="shared" si="16"/>
        <v>13.636363636363637</v>
      </c>
      <c r="AA27" s="123">
        <f t="shared" si="16"/>
        <v>10.975609756097562</v>
      </c>
      <c r="AB27" s="123"/>
      <c r="AC27" s="21">
        <v>450</v>
      </c>
      <c r="AD27" s="124"/>
      <c r="AE27" s="124">
        <f>(D27-S27)/S27</f>
        <v>1.1333333333333397E-2</v>
      </c>
      <c r="AF27" s="124">
        <f>(E27-T27)/T27</f>
        <v>5.9999999999999429E-3</v>
      </c>
      <c r="AG27" s="124">
        <f t="shared" si="9"/>
        <v>-2.2222222222219383E-4</v>
      </c>
      <c r="AH27" s="124">
        <f t="shared" si="11"/>
        <v>3.5555555555566166E-4</v>
      </c>
      <c r="AI27" s="124">
        <f t="shared" si="13"/>
        <v>8.6666666666667027E-3</v>
      </c>
      <c r="AJ27" s="124">
        <f t="shared" si="15"/>
        <v>3.3333333333334047E-3</v>
      </c>
      <c r="AK27" s="124">
        <f t="shared" si="17"/>
        <v>-6.2222222222222002E-3</v>
      </c>
      <c r="AL27" s="124">
        <f t="shared" si="18"/>
        <v>1.2000000000000028E-2</v>
      </c>
      <c r="AM27" s="124">
        <f t="shared" si="19"/>
        <v>2.2222222222221433E-3</v>
      </c>
    </row>
    <row r="28" spans="1:39" x14ac:dyDescent="0.35">
      <c r="A28" s="6" t="s">
        <v>12</v>
      </c>
      <c r="B28" s="21">
        <v>500</v>
      </c>
      <c r="C28" s="13"/>
      <c r="D28" s="6"/>
      <c r="E28" s="11">
        <v>55.8</v>
      </c>
      <c r="F28" s="6">
        <v>45.4</v>
      </c>
      <c r="G28" s="11">
        <v>36.799999999999997</v>
      </c>
      <c r="H28" s="6">
        <v>29.7</v>
      </c>
      <c r="I28" s="11">
        <v>23.9</v>
      </c>
      <c r="J28" s="6">
        <v>19.100000000000001</v>
      </c>
      <c r="K28" s="11">
        <v>15.3</v>
      </c>
      <c r="L28" s="6">
        <v>12.3</v>
      </c>
      <c r="Q28" s="21">
        <v>500</v>
      </c>
      <c r="R28" s="123"/>
      <c r="S28" s="123"/>
      <c r="T28" s="123">
        <f t="shared" si="7"/>
        <v>55.555555555555557</v>
      </c>
      <c r="U28" s="123">
        <f t="shared" si="8"/>
        <v>45.454545454545453</v>
      </c>
      <c r="V28" s="123">
        <f t="shared" si="10"/>
        <v>36.764705882352942</v>
      </c>
      <c r="W28" s="123">
        <f t="shared" si="12"/>
        <v>29.411764705882351</v>
      </c>
      <c r="X28" s="123">
        <f t="shared" si="14"/>
        <v>23.80952380952381</v>
      </c>
      <c r="Y28" s="123">
        <f t="shared" si="16"/>
        <v>19.23076923076923</v>
      </c>
      <c r="Z28" s="123">
        <f t="shared" si="16"/>
        <v>15.151515151515152</v>
      </c>
      <c r="AA28" s="123">
        <f t="shared" si="16"/>
        <v>12.195121951219512</v>
      </c>
      <c r="AB28" s="123"/>
      <c r="AC28" s="21">
        <v>500</v>
      </c>
      <c r="AD28" s="124"/>
      <c r="AE28" s="124"/>
      <c r="AF28" s="124">
        <f>(E28-T28)/T28</f>
        <v>4.3999999999999205E-3</v>
      </c>
      <c r="AG28" s="124">
        <f t="shared" si="9"/>
        <v>-1.2000000000000029E-3</v>
      </c>
      <c r="AH28" s="124">
        <f t="shared" si="11"/>
        <v>9.5999999999989995E-4</v>
      </c>
      <c r="AI28" s="124">
        <f t="shared" si="13"/>
        <v>9.8000000000000257E-3</v>
      </c>
      <c r="AJ28" s="124">
        <f t="shared" si="15"/>
        <v>3.799999999999912E-3</v>
      </c>
      <c r="AK28" s="124">
        <f t="shared" si="17"/>
        <v>-6.7999999999998834E-3</v>
      </c>
      <c r="AL28" s="124">
        <f t="shared" si="18"/>
        <v>9.7999999999999962E-3</v>
      </c>
      <c r="AM28" s="124">
        <f t="shared" si="19"/>
        <v>8.6000000000000434E-3</v>
      </c>
    </row>
    <row r="29" spans="1:39" x14ac:dyDescent="0.35">
      <c r="A29" s="6" t="s">
        <v>12</v>
      </c>
      <c r="B29" s="21">
        <v>560</v>
      </c>
      <c r="C29" s="13"/>
      <c r="D29" s="6"/>
      <c r="E29" s="11">
        <v>62.5</v>
      </c>
      <c r="F29" s="6">
        <v>50.8</v>
      </c>
      <c r="G29" s="11">
        <v>41.2</v>
      </c>
      <c r="H29" s="6">
        <v>33.200000000000003</v>
      </c>
      <c r="I29" s="11">
        <v>26.7</v>
      </c>
      <c r="J29" s="6">
        <v>21.4</v>
      </c>
      <c r="K29" s="11">
        <v>17.2</v>
      </c>
      <c r="L29" s="6">
        <v>13.7</v>
      </c>
      <c r="Q29" s="21">
        <v>560</v>
      </c>
      <c r="R29" s="123"/>
      <c r="S29" s="123"/>
      <c r="T29" s="123">
        <f t="shared" si="7"/>
        <v>62.222222222222221</v>
      </c>
      <c r="U29" s="123">
        <f t="shared" si="8"/>
        <v>50.909090909090907</v>
      </c>
      <c r="V29" s="123">
        <f t="shared" si="10"/>
        <v>41.176470588235297</v>
      </c>
      <c r="W29" s="123">
        <f t="shared" si="12"/>
        <v>32.941176470588232</v>
      </c>
      <c r="X29" s="123">
        <f t="shared" si="14"/>
        <v>26.666666666666668</v>
      </c>
      <c r="Y29" s="123">
        <f t="shared" si="16"/>
        <v>21.53846153846154</v>
      </c>
      <c r="Z29" s="123">
        <f t="shared" si="16"/>
        <v>16.969696969696969</v>
      </c>
      <c r="AA29" s="123">
        <f t="shared" si="16"/>
        <v>13.658536585365853</v>
      </c>
      <c r="AB29" s="123"/>
      <c r="AC29" s="21">
        <v>560</v>
      </c>
      <c r="AD29" s="124"/>
      <c r="AE29" s="124"/>
      <c r="AF29" s="124">
        <f>(E29-T29)/T29</f>
        <v>4.464285714285727E-3</v>
      </c>
      <c r="AG29" s="124">
        <f t="shared" si="9"/>
        <v>-2.1428571428571482E-3</v>
      </c>
      <c r="AH29" s="124">
        <f t="shared" si="11"/>
        <v>5.7142857142856941E-4</v>
      </c>
      <c r="AI29" s="124">
        <f t="shared" si="13"/>
        <v>7.857142857143045E-3</v>
      </c>
      <c r="AJ29" s="124">
        <f t="shared" si="15"/>
        <v>1.2499999999999289E-3</v>
      </c>
      <c r="AK29" s="124">
        <f t="shared" si="17"/>
        <v>-6.4285714285715698E-3</v>
      </c>
      <c r="AL29" s="124">
        <f t="shared" si="18"/>
        <v>1.3571428571428581E-2</v>
      </c>
      <c r="AM29" s="124">
        <f t="shared" si="19"/>
        <v>3.0357142857142558E-3</v>
      </c>
    </row>
    <row r="30" spans="1:39" x14ac:dyDescent="0.35">
      <c r="A30" s="6" t="s">
        <v>12</v>
      </c>
      <c r="B30" s="21">
        <v>630</v>
      </c>
      <c r="C30" s="13"/>
      <c r="D30" s="6"/>
      <c r="E30" s="11">
        <v>70.3</v>
      </c>
      <c r="F30" s="6">
        <v>57.2</v>
      </c>
      <c r="G30" s="11">
        <v>46.3</v>
      </c>
      <c r="H30" s="6">
        <v>37.4</v>
      </c>
      <c r="I30" s="11">
        <v>30</v>
      </c>
      <c r="J30" s="6">
        <v>24.1</v>
      </c>
      <c r="K30" s="11">
        <v>19.3</v>
      </c>
      <c r="L30" s="6">
        <v>15.4</v>
      </c>
      <c r="Q30" s="21">
        <v>630</v>
      </c>
      <c r="R30" s="123"/>
      <c r="S30" s="123"/>
      <c r="T30" s="123">
        <f t="shared" si="7"/>
        <v>70</v>
      </c>
      <c r="U30" s="123">
        <f t="shared" si="8"/>
        <v>57.272727272727273</v>
      </c>
      <c r="V30" s="123">
        <f t="shared" si="10"/>
        <v>46.32352941176471</v>
      </c>
      <c r="W30" s="123">
        <f t="shared" si="12"/>
        <v>37.058823529411768</v>
      </c>
      <c r="X30" s="123">
        <f t="shared" si="14"/>
        <v>30</v>
      </c>
      <c r="Y30" s="123">
        <f t="shared" si="16"/>
        <v>24.23076923076923</v>
      </c>
      <c r="Z30" s="123">
        <f t="shared" si="16"/>
        <v>19.09090909090909</v>
      </c>
      <c r="AA30" s="123">
        <f t="shared" si="16"/>
        <v>15.365853658536585</v>
      </c>
      <c r="AB30" s="123"/>
      <c r="AC30" s="21">
        <v>630</v>
      </c>
      <c r="AD30" s="124"/>
      <c r="AE30" s="124"/>
      <c r="AF30" s="124">
        <f>(E30-T30)/T30</f>
        <v>4.2857142857142452E-3</v>
      </c>
      <c r="AG30" s="124">
        <f t="shared" si="9"/>
        <v>-1.2698412698412315E-3</v>
      </c>
      <c r="AH30" s="124">
        <f t="shared" si="11"/>
        <v>-5.0793650793665949E-4</v>
      </c>
      <c r="AI30" s="124">
        <f t="shared" si="13"/>
        <v>9.2063492063490775E-3</v>
      </c>
      <c r="AJ30" s="124">
        <f t="shared" si="15"/>
        <v>0</v>
      </c>
      <c r="AK30" s="124">
        <f t="shared" si="17"/>
        <v>-5.3968253968253044E-3</v>
      </c>
      <c r="AL30" s="124">
        <f t="shared" si="18"/>
        <v>1.0952380952381041E-2</v>
      </c>
      <c r="AM30" s="124">
        <f t="shared" si="19"/>
        <v>2.2222222222222821E-3</v>
      </c>
    </row>
    <row r="31" spans="1:39" x14ac:dyDescent="0.35">
      <c r="A31" s="6" t="s">
        <v>12</v>
      </c>
      <c r="B31" s="21">
        <v>710</v>
      </c>
      <c r="C31" s="13"/>
      <c r="D31" s="6"/>
      <c r="E31" s="11">
        <v>79.3</v>
      </c>
      <c r="F31" s="6">
        <v>64.5</v>
      </c>
      <c r="G31" s="11">
        <v>52.2</v>
      </c>
      <c r="H31" s="6">
        <v>42.1</v>
      </c>
      <c r="I31" s="11">
        <v>33.9</v>
      </c>
      <c r="J31" s="6">
        <v>27.2</v>
      </c>
      <c r="K31" s="11">
        <v>21.8</v>
      </c>
      <c r="L31" s="6">
        <v>17.399999999999999</v>
      </c>
      <c r="Q31" s="21">
        <v>710</v>
      </c>
      <c r="R31" s="123"/>
      <c r="S31" s="123"/>
      <c r="T31" s="123">
        <f t="shared" si="7"/>
        <v>78.888888888888886</v>
      </c>
      <c r="U31" s="123">
        <f t="shared" si="8"/>
        <v>64.545454545454547</v>
      </c>
      <c r="V31" s="123">
        <f t="shared" si="10"/>
        <v>52.205882352941181</v>
      </c>
      <c r="W31" s="123">
        <f t="shared" si="12"/>
        <v>41.764705882352942</v>
      </c>
      <c r="X31" s="123">
        <f t="shared" si="14"/>
        <v>33.80952380952381</v>
      </c>
      <c r="Y31" s="123">
        <f t="shared" si="16"/>
        <v>27.307692307692307</v>
      </c>
      <c r="Z31" s="123">
        <f t="shared" si="16"/>
        <v>21.515151515151516</v>
      </c>
      <c r="AA31" s="123">
        <f t="shared" si="16"/>
        <v>17.317073170731707</v>
      </c>
      <c r="AB31" s="123"/>
      <c r="AC31" s="21">
        <v>710</v>
      </c>
      <c r="AD31" s="124"/>
      <c r="AE31" s="124"/>
      <c r="AF31" s="124">
        <f>(E31-T31)/T31</f>
        <v>5.2112676056338073E-3</v>
      </c>
      <c r="AG31" s="124">
        <f t="shared" si="9"/>
        <v>-7.0422535211269604E-4</v>
      </c>
      <c r="AH31" s="124">
        <f t="shared" si="11"/>
        <v>-1.1267605633806178E-4</v>
      </c>
      <c r="AI31" s="124">
        <f t="shared" si="13"/>
        <v>8.0281690140845217E-3</v>
      </c>
      <c r="AJ31" s="124">
        <f t="shared" si="15"/>
        <v>2.6760563380281068E-3</v>
      </c>
      <c r="AK31" s="124">
        <f t="shared" si="17"/>
        <v>-3.9436619718309718E-3</v>
      </c>
      <c r="AL31" s="124">
        <f t="shared" si="18"/>
        <v>1.3239436619718322E-2</v>
      </c>
      <c r="AM31" s="124">
        <f t="shared" si="19"/>
        <v>4.7887323943661504E-3</v>
      </c>
    </row>
    <row r="32" spans="1:39" x14ac:dyDescent="0.35">
      <c r="A32" s="6" t="s">
        <v>12</v>
      </c>
      <c r="B32" s="21">
        <v>800</v>
      </c>
      <c r="C32" s="13"/>
      <c r="D32" s="6"/>
      <c r="E32" s="11">
        <v>89.3</v>
      </c>
      <c r="F32" s="6">
        <v>72.599999999999994</v>
      </c>
      <c r="G32" s="11">
        <v>58.8</v>
      </c>
      <c r="H32" s="6">
        <v>47.4</v>
      </c>
      <c r="I32" s="11">
        <v>38.1</v>
      </c>
      <c r="J32" s="6">
        <v>30.6</v>
      </c>
      <c r="K32" s="11">
        <v>24.5</v>
      </c>
      <c r="L32" s="6">
        <v>19.600000000000001</v>
      </c>
      <c r="Q32" s="21">
        <v>800</v>
      </c>
      <c r="R32" s="123"/>
      <c r="S32" s="123"/>
      <c r="T32" s="123">
        <f t="shared" si="7"/>
        <v>88.888888888888886</v>
      </c>
      <c r="U32" s="123">
        <f t="shared" si="8"/>
        <v>72.727272727272734</v>
      </c>
      <c r="V32" s="123">
        <f t="shared" si="10"/>
        <v>58.82352941176471</v>
      </c>
      <c r="W32" s="123">
        <f t="shared" si="12"/>
        <v>47.058823529411768</v>
      </c>
      <c r="X32" s="123">
        <f t="shared" si="14"/>
        <v>38.095238095238095</v>
      </c>
      <c r="Y32" s="123">
        <f t="shared" si="16"/>
        <v>30.76923076923077</v>
      </c>
      <c r="Z32" s="123">
        <f t="shared" si="16"/>
        <v>24.242424242424242</v>
      </c>
      <c r="AA32" s="123">
        <f t="shared" si="16"/>
        <v>19.512195121951219</v>
      </c>
      <c r="AB32" s="123"/>
      <c r="AC32" s="21">
        <v>800</v>
      </c>
      <c r="AD32" s="124"/>
      <c r="AE32" s="124"/>
      <c r="AF32" s="124">
        <f>(E32-T32)/T32</f>
        <v>4.6250000000000041E-3</v>
      </c>
      <c r="AG32" s="124">
        <f t="shared" si="9"/>
        <v>-1.7500000000001668E-3</v>
      </c>
      <c r="AH32" s="124">
        <f t="shared" si="11"/>
        <v>-4.0000000000011934E-4</v>
      </c>
      <c r="AI32" s="124">
        <f t="shared" si="13"/>
        <v>7.249999999999898E-3</v>
      </c>
      <c r="AJ32" s="124">
        <f t="shared" si="15"/>
        <v>1.2500000000004619E-4</v>
      </c>
      <c r="AK32" s="124">
        <f t="shared" si="17"/>
        <v>-5.4999999999999806E-3</v>
      </c>
      <c r="AL32" s="124">
        <f t="shared" si="18"/>
        <v>1.0625000000000009E-2</v>
      </c>
      <c r="AM32" s="124">
        <f t="shared" si="19"/>
        <v>4.5000000000000951E-3</v>
      </c>
    </row>
    <row r="33" spans="1:39" x14ac:dyDescent="0.35">
      <c r="A33" s="6" t="s">
        <v>13</v>
      </c>
      <c r="B33" s="21">
        <v>900</v>
      </c>
      <c r="C33" s="13"/>
      <c r="D33" s="6"/>
      <c r="E33" s="11"/>
      <c r="F33" s="6">
        <v>81.7</v>
      </c>
      <c r="G33" s="11">
        <v>66.099999999999994</v>
      </c>
      <c r="H33" s="6">
        <v>53.3</v>
      </c>
      <c r="I33" s="11">
        <v>42.9</v>
      </c>
      <c r="J33" s="6">
        <v>34.4</v>
      </c>
      <c r="K33" s="11">
        <v>27.6</v>
      </c>
      <c r="L33" s="6">
        <v>22</v>
      </c>
      <c r="Q33" s="21">
        <v>900</v>
      </c>
      <c r="R33" s="123"/>
      <c r="S33" s="123"/>
      <c r="T33" s="123"/>
      <c r="U33" s="123">
        <f t="shared" si="8"/>
        <v>81.818181818181813</v>
      </c>
      <c r="V33" s="123">
        <f t="shared" si="10"/>
        <v>66.17647058823529</v>
      </c>
      <c r="W33" s="123">
        <f t="shared" si="12"/>
        <v>52.941176470588232</v>
      </c>
      <c r="X33" s="123">
        <f t="shared" si="14"/>
        <v>42.857142857142854</v>
      </c>
      <c r="Y33" s="123">
        <f t="shared" si="16"/>
        <v>34.615384615384613</v>
      </c>
      <c r="Z33" s="123">
        <f t="shared" si="16"/>
        <v>27.272727272727273</v>
      </c>
      <c r="AA33" s="123">
        <f t="shared" si="16"/>
        <v>21.951219512195124</v>
      </c>
      <c r="AB33" s="123"/>
      <c r="AC33" s="21">
        <v>900</v>
      </c>
      <c r="AD33" s="124"/>
      <c r="AE33" s="124"/>
      <c r="AF33" s="124"/>
      <c r="AG33" s="124">
        <f t="shared" si="9"/>
        <v>-1.4444444444443466E-3</v>
      </c>
      <c r="AH33" s="124">
        <f t="shared" si="11"/>
        <v>-1.1555555555555783E-3</v>
      </c>
      <c r="AI33" s="124">
        <f t="shared" si="13"/>
        <v>6.7777777777777879E-3</v>
      </c>
      <c r="AJ33" s="124">
        <f t="shared" si="15"/>
        <v>1.000000000000038E-3</v>
      </c>
      <c r="AK33" s="124">
        <f t="shared" si="17"/>
        <v>-6.2222222222222002E-3</v>
      </c>
      <c r="AL33" s="124">
        <f t="shared" si="18"/>
        <v>1.2000000000000028E-2</v>
      </c>
      <c r="AM33" s="124">
        <f t="shared" si="19"/>
        <v>2.2222222222221433E-3</v>
      </c>
    </row>
    <row r="34" spans="1:39" x14ac:dyDescent="0.35">
      <c r="A34" s="6" t="s">
        <v>12</v>
      </c>
      <c r="B34" s="21">
        <v>1000</v>
      </c>
      <c r="C34" s="13"/>
      <c r="D34" s="6"/>
      <c r="E34" s="11"/>
      <c r="F34" s="6">
        <v>90.8</v>
      </c>
      <c r="G34" s="11">
        <v>73.5</v>
      </c>
      <c r="H34" s="6">
        <v>59.3</v>
      </c>
      <c r="I34" s="11">
        <v>47.7</v>
      </c>
      <c r="J34" s="6">
        <v>38.200000000000003</v>
      </c>
      <c r="K34" s="11">
        <v>30.6</v>
      </c>
      <c r="L34" s="6">
        <v>24.5</v>
      </c>
      <c r="Q34" s="21">
        <v>1000</v>
      </c>
      <c r="R34" s="123"/>
      <c r="S34" s="123"/>
      <c r="T34" s="123"/>
      <c r="U34" s="123">
        <f t="shared" si="8"/>
        <v>90.909090909090907</v>
      </c>
      <c r="V34" s="123">
        <f t="shared" si="10"/>
        <v>73.529411764705884</v>
      </c>
      <c r="W34" s="123">
        <f t="shared" si="12"/>
        <v>58.823529411764703</v>
      </c>
      <c r="X34" s="123">
        <f t="shared" si="14"/>
        <v>47.61904761904762</v>
      </c>
      <c r="Y34" s="123">
        <f t="shared" si="16"/>
        <v>38.46153846153846</v>
      </c>
      <c r="Z34" s="123">
        <f t="shared" si="16"/>
        <v>30.303030303030305</v>
      </c>
      <c r="AA34" s="123">
        <f t="shared" si="16"/>
        <v>24.390243902439025</v>
      </c>
      <c r="AB34" s="123"/>
      <c r="AC34" s="21">
        <v>1000</v>
      </c>
      <c r="AD34" s="124"/>
      <c r="AE34" s="124"/>
      <c r="AF34" s="124"/>
      <c r="AG34" s="124">
        <f t="shared" si="9"/>
        <v>-1.2000000000000029E-3</v>
      </c>
      <c r="AH34" s="124">
        <f t="shared" si="11"/>
        <v>-4.0000000000002273E-4</v>
      </c>
      <c r="AI34" s="124">
        <f t="shared" si="13"/>
        <v>8.1000000000000013E-3</v>
      </c>
      <c r="AJ34" s="124">
        <f t="shared" si="15"/>
        <v>1.7000000000000311E-3</v>
      </c>
      <c r="AK34" s="124">
        <f t="shared" si="17"/>
        <v>-6.7999999999998834E-3</v>
      </c>
      <c r="AL34" s="124">
        <f t="shared" si="18"/>
        <v>9.7999999999999962E-3</v>
      </c>
      <c r="AM34" s="124">
        <f t="shared" si="19"/>
        <v>4.4999999999999858E-3</v>
      </c>
    </row>
    <row r="35" spans="1:39" x14ac:dyDescent="0.35">
      <c r="A35" s="6" t="s">
        <v>13</v>
      </c>
      <c r="B35" s="21">
        <v>1200</v>
      </c>
      <c r="C35" s="13"/>
      <c r="D35" s="6"/>
      <c r="E35" s="11"/>
      <c r="F35" s="6"/>
      <c r="G35" s="11">
        <v>88.2</v>
      </c>
      <c r="H35" s="6">
        <v>71.099999999999994</v>
      </c>
      <c r="I35" s="11">
        <v>57.2</v>
      </c>
      <c r="J35" s="6">
        <v>45.9</v>
      </c>
      <c r="K35" s="11">
        <v>36.700000000000003</v>
      </c>
      <c r="L35" s="6">
        <v>29.4</v>
      </c>
      <c r="Q35" s="21">
        <v>1200</v>
      </c>
      <c r="R35" s="123"/>
      <c r="S35" s="123"/>
      <c r="T35" s="123"/>
      <c r="U35" s="123"/>
      <c r="V35" s="123">
        <f t="shared" si="10"/>
        <v>88.235294117647058</v>
      </c>
      <c r="W35" s="123">
        <f t="shared" si="12"/>
        <v>70.588235294117652</v>
      </c>
      <c r="X35" s="123">
        <f t="shared" si="14"/>
        <v>57.142857142857146</v>
      </c>
      <c r="Y35" s="123">
        <f t="shared" si="16"/>
        <v>46.153846153846153</v>
      </c>
      <c r="Z35" s="123">
        <f t="shared" si="16"/>
        <v>36.363636363636367</v>
      </c>
      <c r="AA35" s="123">
        <f t="shared" si="16"/>
        <v>29.26829268292683</v>
      </c>
      <c r="AB35" s="123"/>
      <c r="AC35" s="21">
        <v>1200</v>
      </c>
      <c r="AD35" s="124"/>
      <c r="AE35" s="124"/>
      <c r="AF35" s="124"/>
      <c r="AG35" s="124"/>
      <c r="AH35" s="124">
        <f t="shared" si="11"/>
        <v>-3.9999999999995833E-4</v>
      </c>
      <c r="AI35" s="124">
        <f t="shared" si="13"/>
        <v>7.2499999999998477E-3</v>
      </c>
      <c r="AJ35" s="124">
        <f t="shared" si="15"/>
        <v>9.9999999999999633E-4</v>
      </c>
      <c r="AK35" s="124">
        <f t="shared" si="17"/>
        <v>-5.5000000000000188E-3</v>
      </c>
      <c r="AL35" s="124">
        <f t="shared" si="18"/>
        <v>9.2499999999999891E-3</v>
      </c>
      <c r="AM35" s="124">
        <f t="shared" si="19"/>
        <v>4.4999999999999129E-3</v>
      </c>
    </row>
    <row r="36" spans="1:39" x14ac:dyDescent="0.35">
      <c r="A36" s="6" t="s">
        <v>13</v>
      </c>
      <c r="B36" s="21">
        <v>1400</v>
      </c>
      <c r="C36" s="13"/>
      <c r="D36" s="6"/>
      <c r="E36" s="11"/>
      <c r="F36" s="6"/>
      <c r="G36" s="11">
        <v>102.8</v>
      </c>
      <c r="H36" s="6">
        <v>83</v>
      </c>
      <c r="I36" s="11">
        <v>66.7</v>
      </c>
      <c r="J36" s="6">
        <v>53.5</v>
      </c>
      <c r="K36" s="11">
        <v>42.9</v>
      </c>
      <c r="L36" s="6">
        <v>34.299999999999997</v>
      </c>
      <c r="Q36" s="21">
        <v>1400</v>
      </c>
      <c r="R36" s="123"/>
      <c r="S36" s="123"/>
      <c r="T36" s="123"/>
      <c r="U36" s="123"/>
      <c r="V36" s="123">
        <f t="shared" si="10"/>
        <v>102.94117647058823</v>
      </c>
      <c r="W36" s="123">
        <f t="shared" si="12"/>
        <v>82.352941176470594</v>
      </c>
      <c r="X36" s="123">
        <f t="shared" si="14"/>
        <v>66.666666666666671</v>
      </c>
      <c r="Y36" s="123">
        <f t="shared" si="16"/>
        <v>53.846153846153847</v>
      </c>
      <c r="Z36" s="123">
        <f t="shared" si="16"/>
        <v>42.424242424242422</v>
      </c>
      <c r="AA36" s="123">
        <f t="shared" si="16"/>
        <v>34.146341463414636</v>
      </c>
      <c r="AB36" s="123"/>
      <c r="AC36" s="21">
        <v>1400</v>
      </c>
      <c r="AD36" s="124"/>
      <c r="AE36" s="124"/>
      <c r="AF36" s="124"/>
      <c r="AG36" s="124"/>
      <c r="AH36" s="124">
        <f t="shared" si="11"/>
        <v>-1.3714285714285666E-3</v>
      </c>
      <c r="AI36" s="124">
        <f t="shared" si="13"/>
        <v>7.8571428571427848E-3</v>
      </c>
      <c r="AJ36" s="124">
        <f t="shared" si="15"/>
        <v>4.999999999999715E-4</v>
      </c>
      <c r="AK36" s="124">
        <f t="shared" si="17"/>
        <v>-6.4285714285714389E-3</v>
      </c>
      <c r="AL36" s="124">
        <f t="shared" si="18"/>
        <v>1.1214285714285732E-2</v>
      </c>
      <c r="AM36" s="124">
        <f t="shared" si="19"/>
        <v>4.4999999999998609E-3</v>
      </c>
    </row>
    <row r="37" spans="1:39" x14ac:dyDescent="0.35">
      <c r="A37" s="6" t="s">
        <v>13</v>
      </c>
      <c r="B37" s="21">
        <v>1600</v>
      </c>
      <c r="C37" s="13"/>
      <c r="D37" s="6"/>
      <c r="E37" s="11"/>
      <c r="F37" s="6"/>
      <c r="G37" s="11">
        <v>117.5</v>
      </c>
      <c r="H37" s="6">
        <v>94.8</v>
      </c>
      <c r="I37" s="11">
        <v>76.2</v>
      </c>
      <c r="J37" s="6">
        <v>61.2</v>
      </c>
      <c r="K37" s="11">
        <v>49</v>
      </c>
      <c r="L37" s="6">
        <v>39.200000000000003</v>
      </c>
      <c r="Q37" s="21">
        <v>1600</v>
      </c>
      <c r="R37" s="123"/>
      <c r="S37" s="123"/>
      <c r="T37" s="123"/>
      <c r="U37" s="123"/>
      <c r="V37" s="123">
        <f t="shared" si="10"/>
        <v>117.64705882352942</v>
      </c>
      <c r="W37" s="123">
        <f t="shared" si="12"/>
        <v>94.117647058823536</v>
      </c>
      <c r="X37" s="123">
        <f t="shared" si="14"/>
        <v>76.19047619047619</v>
      </c>
      <c r="Y37" s="123">
        <f t="shared" si="16"/>
        <v>61.53846153846154</v>
      </c>
      <c r="Z37" s="123">
        <f t="shared" si="16"/>
        <v>48.484848484848484</v>
      </c>
      <c r="AA37" s="123">
        <f t="shared" si="16"/>
        <v>39.024390243902438</v>
      </c>
      <c r="AB37" s="123"/>
      <c r="AC37" s="21">
        <v>1600</v>
      </c>
      <c r="AD37" s="124"/>
      <c r="AE37" s="124"/>
      <c r="AF37" s="124"/>
      <c r="AG37" s="124"/>
      <c r="AH37" s="124">
        <f t="shared" si="11"/>
        <v>-1.2500000000000709E-3</v>
      </c>
      <c r="AI37" s="124">
        <f t="shared" si="13"/>
        <v>7.249999999999898E-3</v>
      </c>
      <c r="AJ37" s="124">
        <f t="shared" si="15"/>
        <v>1.2500000000004619E-4</v>
      </c>
      <c r="AK37" s="124">
        <f t="shared" si="17"/>
        <v>-5.4999999999999806E-3</v>
      </c>
      <c r="AL37" s="124">
        <f t="shared" si="18"/>
        <v>1.0625000000000009E-2</v>
      </c>
      <c r="AM37" s="124">
        <f t="shared" si="19"/>
        <v>4.5000000000000951E-3</v>
      </c>
    </row>
    <row r="38" spans="1:39" x14ac:dyDescent="0.35">
      <c r="A38" s="6" t="s">
        <v>13</v>
      </c>
      <c r="B38" s="21">
        <v>1800</v>
      </c>
      <c r="C38" s="13"/>
      <c r="D38" s="6"/>
      <c r="E38" s="11"/>
      <c r="F38" s="6"/>
      <c r="G38" s="11"/>
      <c r="H38" s="6">
        <v>106.6</v>
      </c>
      <c r="I38" s="11">
        <v>85.8</v>
      </c>
      <c r="J38" s="6">
        <v>68.8</v>
      </c>
      <c r="K38" s="11">
        <v>55.1</v>
      </c>
      <c r="L38" s="6">
        <v>44</v>
      </c>
      <c r="Q38" s="21">
        <v>1800</v>
      </c>
      <c r="R38" s="123"/>
      <c r="S38" s="123"/>
      <c r="T38" s="123"/>
      <c r="U38" s="123"/>
      <c r="V38" s="123"/>
      <c r="W38" s="123">
        <f t="shared" si="12"/>
        <v>105.88235294117646</v>
      </c>
      <c r="X38" s="123">
        <f t="shared" si="14"/>
        <v>85.714285714285708</v>
      </c>
      <c r="Y38" s="123">
        <f t="shared" si="16"/>
        <v>69.230769230769226</v>
      </c>
      <c r="Z38" s="123">
        <f t="shared" si="16"/>
        <v>54.545454545454547</v>
      </c>
      <c r="AA38" s="123">
        <f t="shared" si="16"/>
        <v>43.902439024390247</v>
      </c>
      <c r="AB38" s="123"/>
      <c r="AC38" s="21">
        <v>1800</v>
      </c>
      <c r="AD38" s="124"/>
      <c r="AE38" s="124"/>
      <c r="AF38" s="124"/>
      <c r="AG38" s="124"/>
      <c r="AH38" s="124"/>
      <c r="AI38" s="124">
        <f t="shared" si="13"/>
        <v>6.7777777777777879E-3</v>
      </c>
      <c r="AJ38" s="124">
        <f t="shared" si="15"/>
        <v>1.000000000000038E-3</v>
      </c>
      <c r="AK38" s="124">
        <f t="shared" si="17"/>
        <v>-6.2222222222222002E-3</v>
      </c>
      <c r="AL38" s="124">
        <f t="shared" si="18"/>
        <v>1.0166666666666669E-2</v>
      </c>
      <c r="AM38" s="124">
        <f t="shared" si="19"/>
        <v>2.2222222222221433E-3</v>
      </c>
    </row>
    <row r="39" spans="1:39" x14ac:dyDescent="0.35">
      <c r="A39" s="6" t="s">
        <v>13</v>
      </c>
      <c r="B39" s="21">
        <v>2000</v>
      </c>
      <c r="C39" s="13"/>
      <c r="D39" s="6"/>
      <c r="E39" s="11"/>
      <c r="F39" s="6"/>
      <c r="G39" s="11"/>
      <c r="H39" s="6">
        <v>118.5</v>
      </c>
      <c r="I39" s="11">
        <v>95.3</v>
      </c>
      <c r="J39" s="6">
        <v>76.400000000000006</v>
      </c>
      <c r="K39" s="11">
        <v>61.2</v>
      </c>
      <c r="L39" s="6">
        <v>48.9</v>
      </c>
      <c r="Q39" s="21">
        <v>2000</v>
      </c>
      <c r="R39" s="123"/>
      <c r="S39" s="123"/>
      <c r="T39" s="123"/>
      <c r="U39" s="123"/>
      <c r="V39" s="123"/>
      <c r="W39" s="123">
        <f t="shared" si="12"/>
        <v>117.64705882352941</v>
      </c>
      <c r="X39" s="123">
        <f t="shared" si="14"/>
        <v>95.238095238095241</v>
      </c>
      <c r="Y39" s="123">
        <f t="shared" si="16"/>
        <v>76.92307692307692</v>
      </c>
      <c r="Z39" s="123">
        <f t="shared" si="16"/>
        <v>60.606060606060609</v>
      </c>
      <c r="AA39" s="123">
        <f t="shared" si="16"/>
        <v>48.780487804878049</v>
      </c>
      <c r="AB39" s="123"/>
      <c r="AC39" s="21">
        <v>2000</v>
      </c>
      <c r="AD39" s="124"/>
      <c r="AE39" s="124"/>
      <c r="AF39" s="124"/>
      <c r="AG39" s="124"/>
      <c r="AH39" s="124"/>
      <c r="AI39" s="124">
        <f t="shared" si="13"/>
        <v>7.2500000000000498E-3</v>
      </c>
      <c r="AJ39" s="124">
        <f t="shared" si="15"/>
        <v>6.4999999999994175E-4</v>
      </c>
      <c r="AK39" s="124">
        <f t="shared" si="17"/>
        <v>-6.7999999999998834E-3</v>
      </c>
      <c r="AL39" s="124">
        <f t="shared" si="18"/>
        <v>9.7999999999999962E-3</v>
      </c>
      <c r="AM39" s="124">
        <f t="shared" si="19"/>
        <v>2.4499999999999566E-3</v>
      </c>
    </row>
    <row r="40" spans="1:39" x14ac:dyDescent="0.35">
      <c r="A40" s="6" t="s">
        <v>13</v>
      </c>
      <c r="B40" s="21">
        <v>2250</v>
      </c>
      <c r="C40" s="13"/>
      <c r="D40" s="6"/>
      <c r="E40" s="11"/>
      <c r="F40" s="6"/>
      <c r="G40" s="11"/>
      <c r="H40" s="6"/>
      <c r="I40" s="11">
        <v>107.2</v>
      </c>
      <c r="J40" s="6">
        <v>86</v>
      </c>
      <c r="K40" s="11">
        <v>68.900000000000006</v>
      </c>
      <c r="L40" s="6">
        <v>55</v>
      </c>
      <c r="Q40" s="21">
        <v>2250</v>
      </c>
      <c r="R40" s="123"/>
      <c r="S40" s="123"/>
      <c r="T40" s="123"/>
      <c r="U40" s="123"/>
      <c r="V40" s="123"/>
      <c r="W40" s="123"/>
      <c r="X40" s="123">
        <f t="shared" si="14"/>
        <v>107.14285714285714</v>
      </c>
      <c r="Y40" s="123">
        <f t="shared" si="16"/>
        <v>86.538461538461533</v>
      </c>
      <c r="Z40" s="123">
        <f t="shared" si="16"/>
        <v>68.181818181818187</v>
      </c>
      <c r="AA40" s="123">
        <f t="shared" si="16"/>
        <v>54.878048780487802</v>
      </c>
      <c r="AB40" s="123"/>
      <c r="AC40" s="21">
        <v>2250</v>
      </c>
      <c r="AD40" s="124"/>
      <c r="AE40" s="124"/>
      <c r="AF40" s="124"/>
      <c r="AG40" s="124"/>
      <c r="AH40" s="124"/>
      <c r="AI40" s="124"/>
      <c r="AJ40" s="124">
        <f t="shared" si="15"/>
        <v>5.3333333333339776E-4</v>
      </c>
      <c r="AK40" s="124">
        <f t="shared" si="17"/>
        <v>-6.2222222222221594E-3</v>
      </c>
      <c r="AL40" s="124">
        <f t="shared" si="18"/>
        <v>1.0533333333333341E-2</v>
      </c>
      <c r="AM40" s="124">
        <f t="shared" si="19"/>
        <v>2.222222222222273E-3</v>
      </c>
    </row>
    <row r="41" spans="1:39" x14ac:dyDescent="0.35">
      <c r="A41" s="6" t="s">
        <v>13</v>
      </c>
      <c r="B41" s="21">
        <v>2500</v>
      </c>
      <c r="C41" s="13"/>
      <c r="D41" s="6"/>
      <c r="E41" s="11"/>
      <c r="F41" s="6"/>
      <c r="G41" s="11"/>
      <c r="H41" s="6"/>
      <c r="I41" s="11">
        <v>119.1</v>
      </c>
      <c r="J41" s="6">
        <v>95.5</v>
      </c>
      <c r="K41" s="11">
        <v>76.5</v>
      </c>
      <c r="L41" s="6">
        <v>61.2</v>
      </c>
      <c r="Q41" s="21">
        <v>2500</v>
      </c>
      <c r="R41" s="123"/>
      <c r="S41" s="123"/>
      <c r="T41" s="123"/>
      <c r="U41" s="123"/>
      <c r="V41" s="123"/>
      <c r="W41" s="123"/>
      <c r="X41" s="123">
        <f t="shared" si="14"/>
        <v>119.04761904761905</v>
      </c>
      <c r="Y41" s="123">
        <f t="shared" si="16"/>
        <v>96.15384615384616</v>
      </c>
      <c r="Z41" s="123">
        <f t="shared" si="16"/>
        <v>75.757575757575751</v>
      </c>
      <c r="AA41" s="123">
        <f t="shared" si="16"/>
        <v>60.975609756097562</v>
      </c>
      <c r="AB41" s="123"/>
      <c r="AC41" s="21">
        <v>2500</v>
      </c>
      <c r="AD41" s="124"/>
      <c r="AE41" s="124"/>
      <c r="AF41" s="124"/>
      <c r="AG41" s="124"/>
      <c r="AH41" s="124"/>
      <c r="AI41" s="124"/>
      <c r="AJ41" s="124">
        <f t="shared" si="15"/>
        <v>4.399999999999238E-4</v>
      </c>
      <c r="AK41" s="124">
        <f t="shared" si="17"/>
        <v>-6.8000000000000681E-3</v>
      </c>
      <c r="AL41" s="124">
        <f t="shared" si="18"/>
        <v>9.8000000000000916E-3</v>
      </c>
      <c r="AM41" s="124">
        <f t="shared" si="19"/>
        <v>3.6800000000000322E-3</v>
      </c>
    </row>
    <row r="43" spans="1:39" ht="13.15" thickBot="1" x14ac:dyDescent="0.4"/>
    <row r="44" spans="1:39" ht="13.15" thickBot="1" x14ac:dyDescent="0.4">
      <c r="A44" s="14"/>
      <c r="B44" s="15" t="s">
        <v>0</v>
      </c>
      <c r="C44" s="18">
        <v>6</v>
      </c>
      <c r="D44" s="16">
        <v>7.4</v>
      </c>
      <c r="E44" s="18">
        <v>9</v>
      </c>
      <c r="F44" s="16">
        <v>11</v>
      </c>
      <c r="G44" s="18">
        <v>13.6</v>
      </c>
      <c r="H44" s="16">
        <v>17</v>
      </c>
      <c r="I44" s="18">
        <v>21</v>
      </c>
      <c r="J44" s="16">
        <v>26</v>
      </c>
      <c r="K44" s="18">
        <v>33</v>
      </c>
      <c r="L44" s="16">
        <v>41</v>
      </c>
    </row>
    <row r="45" spans="1:39" ht="13.15" x14ac:dyDescent="0.4">
      <c r="A45" s="14" t="s">
        <v>11</v>
      </c>
      <c r="B45" s="8" t="s">
        <v>1</v>
      </c>
      <c r="C45" s="10" t="s">
        <v>9</v>
      </c>
      <c r="D45" s="8" t="s">
        <v>9</v>
      </c>
      <c r="E45" s="10" t="s">
        <v>9</v>
      </c>
      <c r="F45" s="8" t="s">
        <v>9</v>
      </c>
      <c r="G45" s="10" t="s">
        <v>9</v>
      </c>
      <c r="H45" s="8" t="s">
        <v>9</v>
      </c>
      <c r="I45" s="10" t="s">
        <v>9</v>
      </c>
      <c r="J45" s="8" t="s">
        <v>9</v>
      </c>
      <c r="K45" s="10" t="s">
        <v>9</v>
      </c>
      <c r="L45" s="8" t="s">
        <v>9</v>
      </c>
    </row>
    <row r="46" spans="1:39" x14ac:dyDescent="0.35">
      <c r="A46" s="7"/>
      <c r="B46" s="7"/>
      <c r="C46" s="10" t="str">
        <f t="shared" ref="C46:L46" si="20">C44&amp;C45</f>
        <v>6emax</v>
      </c>
      <c r="D46" s="9" t="str">
        <f t="shared" si="20"/>
        <v>7.4emax</v>
      </c>
      <c r="E46" s="10" t="str">
        <f t="shared" si="20"/>
        <v>9emax</v>
      </c>
      <c r="F46" s="9" t="str">
        <f t="shared" si="20"/>
        <v>11emax</v>
      </c>
      <c r="G46" s="10" t="str">
        <f t="shared" si="20"/>
        <v>13.6emax</v>
      </c>
      <c r="H46" s="9" t="str">
        <f t="shared" si="20"/>
        <v>17emax</v>
      </c>
      <c r="I46" s="10" t="str">
        <f t="shared" si="20"/>
        <v>21emax</v>
      </c>
      <c r="J46" s="9" t="str">
        <f t="shared" si="20"/>
        <v>26emax</v>
      </c>
      <c r="K46" s="10" t="str">
        <f t="shared" si="20"/>
        <v>33emax</v>
      </c>
      <c r="L46" s="9" t="str">
        <f t="shared" si="20"/>
        <v>41emax</v>
      </c>
    </row>
    <row r="47" spans="1:39" x14ac:dyDescent="0.35">
      <c r="A47" s="6" t="s">
        <v>13</v>
      </c>
      <c r="B47" s="21">
        <v>16</v>
      </c>
      <c r="C47" s="11">
        <v>3.4</v>
      </c>
      <c r="D47" s="6">
        <v>2.7</v>
      </c>
      <c r="E47" s="11">
        <v>2.2999999999999998</v>
      </c>
      <c r="F47" s="6"/>
      <c r="G47" s="11"/>
      <c r="H47" s="6"/>
      <c r="I47" s="11"/>
      <c r="J47" s="6"/>
      <c r="K47" s="11"/>
      <c r="L47" s="6"/>
    </row>
    <row r="48" spans="1:39" x14ac:dyDescent="0.35">
      <c r="A48" s="6" t="s">
        <v>13</v>
      </c>
      <c r="B48" s="21">
        <v>20</v>
      </c>
      <c r="C48" s="11">
        <v>3.9</v>
      </c>
      <c r="D48" s="6">
        <v>3.4</v>
      </c>
      <c r="E48" s="11">
        <v>2.7</v>
      </c>
      <c r="F48" s="6">
        <v>2.2999999999999998</v>
      </c>
      <c r="G48" s="11"/>
      <c r="H48" s="6"/>
      <c r="I48" s="11"/>
      <c r="J48" s="6"/>
      <c r="K48" s="11"/>
      <c r="L48" s="6"/>
    </row>
    <row r="49" spans="1:12" x14ac:dyDescent="0.35">
      <c r="A49" s="6" t="s">
        <v>13</v>
      </c>
      <c r="B49" s="21">
        <v>25</v>
      </c>
      <c r="C49" s="11">
        <v>4.8</v>
      </c>
      <c r="D49" s="6">
        <v>4</v>
      </c>
      <c r="E49" s="11">
        <v>3.4</v>
      </c>
      <c r="F49" s="6">
        <v>2.7</v>
      </c>
      <c r="G49" s="11">
        <v>2.2999999999999998</v>
      </c>
      <c r="H49" s="6"/>
      <c r="I49" s="11"/>
      <c r="J49" s="6"/>
      <c r="K49" s="11"/>
      <c r="L49" s="6"/>
    </row>
    <row r="50" spans="1:12" x14ac:dyDescent="0.35">
      <c r="A50" s="6" t="s">
        <v>13</v>
      </c>
      <c r="B50" s="21">
        <v>32</v>
      </c>
      <c r="C50" s="11">
        <v>6.1</v>
      </c>
      <c r="D50" s="6">
        <v>5</v>
      </c>
      <c r="E50" s="11">
        <v>4.0999999999999996</v>
      </c>
      <c r="F50" s="6">
        <v>3.4</v>
      </c>
      <c r="G50" s="11">
        <v>2.8</v>
      </c>
      <c r="H50" s="6">
        <v>2.2999999999999998</v>
      </c>
      <c r="I50" s="11"/>
      <c r="J50" s="6"/>
      <c r="K50" s="11"/>
      <c r="L50" s="6"/>
    </row>
    <row r="51" spans="1:12" x14ac:dyDescent="0.35">
      <c r="A51" s="6" t="s">
        <v>13</v>
      </c>
      <c r="B51" s="21">
        <v>40</v>
      </c>
      <c r="C51" s="11">
        <v>7.5</v>
      </c>
      <c r="D51" s="6">
        <v>6.2</v>
      </c>
      <c r="E51" s="11">
        <v>5.0999999999999996</v>
      </c>
      <c r="F51" s="6">
        <v>4.2</v>
      </c>
      <c r="G51" s="11">
        <v>3.5</v>
      </c>
      <c r="H51" s="6">
        <v>2.8</v>
      </c>
      <c r="I51" s="11">
        <v>2.2999999999999998</v>
      </c>
      <c r="J51" s="6"/>
      <c r="K51" s="11"/>
      <c r="L51" s="6"/>
    </row>
    <row r="52" spans="1:12" x14ac:dyDescent="0.35">
      <c r="A52" s="6" t="s">
        <v>13</v>
      </c>
      <c r="B52" s="21">
        <v>50</v>
      </c>
      <c r="C52" s="11">
        <v>9.3000000000000007</v>
      </c>
      <c r="D52" s="6">
        <v>7.7</v>
      </c>
      <c r="E52" s="11">
        <v>6.3</v>
      </c>
      <c r="F52" s="6">
        <v>5.2</v>
      </c>
      <c r="G52" s="11">
        <v>4.2</v>
      </c>
      <c r="H52" s="6">
        <v>3.4</v>
      </c>
      <c r="I52" s="11">
        <v>2.8</v>
      </c>
      <c r="J52" s="6">
        <v>2.2999999999999998</v>
      </c>
      <c r="K52" s="11"/>
      <c r="L52" s="6"/>
    </row>
    <row r="53" spans="1:12" x14ac:dyDescent="0.35">
      <c r="A53" s="6" t="s">
        <v>12</v>
      </c>
      <c r="B53" s="21">
        <v>63</v>
      </c>
      <c r="C53" s="11">
        <v>11.7</v>
      </c>
      <c r="D53" s="6">
        <v>9.6</v>
      </c>
      <c r="E53" s="11">
        <v>8</v>
      </c>
      <c r="F53" s="6">
        <v>6.5</v>
      </c>
      <c r="G53" s="11">
        <v>5.3</v>
      </c>
      <c r="H53" s="6">
        <v>4.3</v>
      </c>
      <c r="I53" s="11">
        <v>3.4</v>
      </c>
      <c r="J53" s="6">
        <v>2.9</v>
      </c>
      <c r="K53" s="11"/>
      <c r="L53" s="6"/>
    </row>
    <row r="54" spans="1:12" x14ac:dyDescent="0.35">
      <c r="A54" s="6" t="s">
        <v>13</v>
      </c>
      <c r="B54" s="21">
        <v>75</v>
      </c>
      <c r="C54" s="11">
        <v>13.9</v>
      </c>
      <c r="D54" s="6">
        <v>11.5</v>
      </c>
      <c r="E54" s="11">
        <v>9.4</v>
      </c>
      <c r="F54" s="6">
        <v>7.6</v>
      </c>
      <c r="G54" s="11">
        <v>6.3</v>
      </c>
      <c r="H54" s="6">
        <v>5.0999999999999996</v>
      </c>
      <c r="I54" s="11">
        <v>4.0999999999999996</v>
      </c>
      <c r="J54" s="6">
        <v>3.3</v>
      </c>
      <c r="K54" s="11"/>
      <c r="L54" s="6"/>
    </row>
    <row r="55" spans="1:12" x14ac:dyDescent="0.35">
      <c r="A55" s="6" t="s">
        <v>12</v>
      </c>
      <c r="B55" s="21">
        <v>90</v>
      </c>
      <c r="C55" s="11">
        <v>16.7</v>
      </c>
      <c r="D55" s="6">
        <v>13.7</v>
      </c>
      <c r="E55" s="11">
        <v>11.3</v>
      </c>
      <c r="F55" s="6">
        <v>9.1999999999999993</v>
      </c>
      <c r="G55" s="11">
        <v>7.5</v>
      </c>
      <c r="H55" s="6">
        <v>6.1</v>
      </c>
      <c r="I55" s="11">
        <v>4.9000000000000004</v>
      </c>
      <c r="J55" s="6">
        <v>4</v>
      </c>
      <c r="K55" s="11"/>
      <c r="L55" s="6"/>
    </row>
    <row r="56" spans="1:12" x14ac:dyDescent="0.35">
      <c r="A56" s="6" t="s">
        <v>12</v>
      </c>
      <c r="B56" s="21">
        <v>110</v>
      </c>
      <c r="C56" s="11">
        <v>20.3</v>
      </c>
      <c r="D56" s="6">
        <v>16.8</v>
      </c>
      <c r="E56" s="11">
        <v>13.7</v>
      </c>
      <c r="F56" s="6">
        <v>11.1</v>
      </c>
      <c r="G56" s="11">
        <v>9.1</v>
      </c>
      <c r="H56" s="6">
        <v>7.4</v>
      </c>
      <c r="I56" s="11">
        <v>6</v>
      </c>
      <c r="J56" s="6">
        <v>4.8</v>
      </c>
      <c r="K56" s="11"/>
      <c r="L56" s="6"/>
    </row>
    <row r="57" spans="1:12" x14ac:dyDescent="0.35">
      <c r="A57" s="6" t="s">
        <v>12</v>
      </c>
      <c r="B57" s="21">
        <v>125</v>
      </c>
      <c r="C57" s="11">
        <v>23</v>
      </c>
      <c r="D57" s="6">
        <v>19</v>
      </c>
      <c r="E57" s="11">
        <v>15.6</v>
      </c>
      <c r="F57" s="6">
        <v>12.7</v>
      </c>
      <c r="G57" s="11">
        <v>10.3</v>
      </c>
      <c r="H57" s="6">
        <v>8.3000000000000007</v>
      </c>
      <c r="I57" s="11">
        <v>6.7</v>
      </c>
      <c r="J57" s="6">
        <v>5.4</v>
      </c>
      <c r="K57" s="11"/>
      <c r="L57" s="6"/>
    </row>
    <row r="58" spans="1:12" x14ac:dyDescent="0.35">
      <c r="A58" s="6" t="s">
        <v>13</v>
      </c>
      <c r="B58" s="21">
        <v>140</v>
      </c>
      <c r="C58" s="11">
        <v>25.8</v>
      </c>
      <c r="D58" s="6">
        <v>21.3</v>
      </c>
      <c r="E58" s="11">
        <v>17.399999999999999</v>
      </c>
      <c r="F58" s="6">
        <v>14.1</v>
      </c>
      <c r="G58" s="11">
        <v>11.5</v>
      </c>
      <c r="H58" s="6">
        <v>9.3000000000000007</v>
      </c>
      <c r="I58" s="11">
        <v>7.5</v>
      </c>
      <c r="J58" s="6">
        <v>6.1</v>
      </c>
      <c r="K58" s="11"/>
      <c r="L58" s="6"/>
    </row>
    <row r="59" spans="1:12" x14ac:dyDescent="0.35">
      <c r="A59" s="6" t="s">
        <v>12</v>
      </c>
      <c r="B59" s="21">
        <v>160</v>
      </c>
      <c r="C59" s="11">
        <v>29.4</v>
      </c>
      <c r="D59" s="6">
        <v>24.2</v>
      </c>
      <c r="E59" s="11">
        <v>19.8</v>
      </c>
      <c r="F59" s="6">
        <v>16.2</v>
      </c>
      <c r="G59" s="11">
        <v>13.1</v>
      </c>
      <c r="H59" s="6">
        <v>10.6</v>
      </c>
      <c r="I59" s="11">
        <v>8.6</v>
      </c>
      <c r="J59" s="6">
        <v>7</v>
      </c>
      <c r="K59" s="11"/>
      <c r="L59" s="6"/>
    </row>
    <row r="60" spans="1:12" x14ac:dyDescent="0.35">
      <c r="A60" s="6" t="s">
        <v>12</v>
      </c>
      <c r="B60" s="21">
        <v>180</v>
      </c>
      <c r="C60" s="11">
        <v>33</v>
      </c>
      <c r="D60" s="6">
        <v>27.2</v>
      </c>
      <c r="E60" s="11">
        <v>22.3</v>
      </c>
      <c r="F60" s="6">
        <v>18.2</v>
      </c>
      <c r="G60" s="11">
        <v>14.8</v>
      </c>
      <c r="H60" s="6">
        <v>11.9</v>
      </c>
      <c r="I60" s="11">
        <v>9.6</v>
      </c>
      <c r="J60" s="6">
        <v>7.7</v>
      </c>
      <c r="K60" s="11"/>
      <c r="L60" s="6"/>
    </row>
    <row r="61" spans="1:12" x14ac:dyDescent="0.35">
      <c r="A61" s="6" t="s">
        <v>13</v>
      </c>
      <c r="B61" s="21">
        <v>200</v>
      </c>
      <c r="C61" s="11">
        <v>36.700000000000003</v>
      </c>
      <c r="D61" s="6">
        <v>30.3</v>
      </c>
      <c r="E61" s="11">
        <v>24.8</v>
      </c>
      <c r="F61" s="6">
        <v>20.2</v>
      </c>
      <c r="G61" s="11">
        <v>16.3</v>
      </c>
      <c r="H61" s="6">
        <v>13.2</v>
      </c>
      <c r="I61" s="11">
        <v>10.7</v>
      </c>
      <c r="J61" s="6">
        <v>8.6</v>
      </c>
      <c r="K61" s="11"/>
      <c r="L61" s="6"/>
    </row>
    <row r="62" spans="1:12" x14ac:dyDescent="0.35">
      <c r="A62" s="6" t="s">
        <v>12</v>
      </c>
      <c r="B62" s="21">
        <v>225</v>
      </c>
      <c r="C62" s="11">
        <v>41.3</v>
      </c>
      <c r="D62" s="6">
        <v>34</v>
      </c>
      <c r="E62" s="11">
        <v>27.9</v>
      </c>
      <c r="F62" s="6">
        <v>22.7</v>
      </c>
      <c r="G62" s="11">
        <v>18.399999999999999</v>
      </c>
      <c r="H62" s="6">
        <v>14.9</v>
      </c>
      <c r="I62" s="11">
        <v>12</v>
      </c>
      <c r="J62" s="6">
        <v>9.6</v>
      </c>
      <c r="K62" s="11"/>
      <c r="L62" s="6"/>
    </row>
    <row r="63" spans="1:12" x14ac:dyDescent="0.35">
      <c r="A63" s="6" t="s">
        <v>12</v>
      </c>
      <c r="B63" s="21">
        <v>250</v>
      </c>
      <c r="C63" s="11">
        <v>45.8</v>
      </c>
      <c r="D63" s="6">
        <v>37.799999999999997</v>
      </c>
      <c r="E63" s="11">
        <v>30.8</v>
      </c>
      <c r="F63" s="6">
        <v>25.1</v>
      </c>
      <c r="G63" s="11">
        <v>20.399999999999999</v>
      </c>
      <c r="H63" s="6">
        <v>16.399999999999999</v>
      </c>
      <c r="I63" s="11">
        <v>13.2</v>
      </c>
      <c r="J63" s="6">
        <v>10.7</v>
      </c>
      <c r="K63" s="11"/>
      <c r="L63" s="6"/>
    </row>
    <row r="64" spans="1:12" x14ac:dyDescent="0.35">
      <c r="A64" s="6" t="s">
        <v>12</v>
      </c>
      <c r="B64" s="21">
        <v>280</v>
      </c>
      <c r="C64" s="11">
        <v>51.3</v>
      </c>
      <c r="D64" s="6">
        <v>42.3</v>
      </c>
      <c r="E64" s="11">
        <v>34.6</v>
      </c>
      <c r="F64" s="6">
        <v>28.1</v>
      </c>
      <c r="G64" s="11">
        <v>22.8</v>
      </c>
      <c r="H64" s="6">
        <v>18.399999999999999</v>
      </c>
      <c r="I64" s="11">
        <v>14.9</v>
      </c>
      <c r="J64" s="6">
        <v>11.9</v>
      </c>
      <c r="K64" s="11"/>
      <c r="L64" s="6"/>
    </row>
    <row r="65" spans="1:12" x14ac:dyDescent="0.35">
      <c r="A65" s="6" t="s">
        <v>12</v>
      </c>
      <c r="B65" s="21">
        <v>315</v>
      </c>
      <c r="C65" s="11">
        <v>57.7</v>
      </c>
      <c r="D65" s="6">
        <v>47.6</v>
      </c>
      <c r="E65" s="11">
        <v>38.9</v>
      </c>
      <c r="F65" s="6">
        <v>31.6</v>
      </c>
      <c r="G65" s="11">
        <v>25.7</v>
      </c>
      <c r="H65" s="6">
        <v>20.7</v>
      </c>
      <c r="I65" s="11">
        <v>16.600000000000001</v>
      </c>
      <c r="J65" s="6">
        <v>13.5</v>
      </c>
      <c r="K65" s="11">
        <v>10.8</v>
      </c>
      <c r="L65" s="6">
        <v>8.6</v>
      </c>
    </row>
    <row r="66" spans="1:12" x14ac:dyDescent="0.35">
      <c r="A66" s="6" t="s">
        <v>12</v>
      </c>
      <c r="B66" s="21">
        <v>355</v>
      </c>
      <c r="C66" s="11">
        <v>65</v>
      </c>
      <c r="D66" s="6">
        <v>53.5</v>
      </c>
      <c r="E66" s="11">
        <v>43.8</v>
      </c>
      <c r="F66" s="6">
        <v>35.6</v>
      </c>
      <c r="G66" s="11">
        <v>28.9</v>
      </c>
      <c r="H66" s="6">
        <v>23.4</v>
      </c>
      <c r="I66" s="11">
        <v>18.7</v>
      </c>
      <c r="J66" s="6">
        <v>15.1</v>
      </c>
      <c r="K66" s="11">
        <v>12.1</v>
      </c>
      <c r="L66" s="6">
        <v>9.6999999999999993</v>
      </c>
    </row>
    <row r="67" spans="1:12" x14ac:dyDescent="0.35">
      <c r="A67" s="6" t="s">
        <v>12</v>
      </c>
      <c r="B67" s="21">
        <v>400</v>
      </c>
      <c r="C67" s="11"/>
      <c r="D67" s="6">
        <v>60.3</v>
      </c>
      <c r="E67" s="11">
        <v>49.3</v>
      </c>
      <c r="F67" s="6">
        <v>40.1</v>
      </c>
      <c r="G67" s="11">
        <v>32.5</v>
      </c>
      <c r="H67" s="6">
        <v>26.2</v>
      </c>
      <c r="I67" s="11">
        <v>21.2</v>
      </c>
      <c r="J67" s="6">
        <v>17</v>
      </c>
      <c r="K67" s="11">
        <v>13.7</v>
      </c>
      <c r="L67" s="6">
        <v>10.9</v>
      </c>
    </row>
    <row r="68" spans="1:12" x14ac:dyDescent="0.35">
      <c r="A68" s="6" t="s">
        <v>13</v>
      </c>
      <c r="B68" s="21">
        <v>450</v>
      </c>
      <c r="C68" s="11"/>
      <c r="D68" s="6">
        <v>67.8</v>
      </c>
      <c r="E68" s="11">
        <v>55.5</v>
      </c>
      <c r="F68" s="6">
        <v>45.1</v>
      </c>
      <c r="G68" s="11">
        <v>36.6</v>
      </c>
      <c r="H68" s="6">
        <v>29.5</v>
      </c>
      <c r="I68" s="11">
        <v>23.8</v>
      </c>
      <c r="J68" s="6">
        <v>19.100000000000001</v>
      </c>
      <c r="K68" s="11">
        <v>15.3</v>
      </c>
      <c r="L68" s="6">
        <v>12.2</v>
      </c>
    </row>
    <row r="69" spans="1:12" x14ac:dyDescent="0.35">
      <c r="A69" s="6" t="s">
        <v>12</v>
      </c>
      <c r="B69" s="21">
        <v>500</v>
      </c>
      <c r="C69" s="11"/>
      <c r="D69" s="6"/>
      <c r="E69" s="11">
        <v>61.5</v>
      </c>
      <c r="F69" s="6">
        <v>50.1</v>
      </c>
      <c r="G69" s="11">
        <v>40.6</v>
      </c>
      <c r="H69" s="6">
        <v>32.799999999999997</v>
      </c>
      <c r="I69" s="11">
        <v>26.4</v>
      </c>
      <c r="J69" s="6">
        <v>21.2</v>
      </c>
      <c r="K69" s="11">
        <v>17</v>
      </c>
      <c r="L69" s="6">
        <v>13.7</v>
      </c>
    </row>
    <row r="70" spans="1:12" x14ac:dyDescent="0.35">
      <c r="A70" s="6" t="s">
        <v>12</v>
      </c>
      <c r="B70" s="21">
        <v>560</v>
      </c>
      <c r="C70" s="11"/>
      <c r="D70" s="6"/>
      <c r="E70" s="11">
        <v>68.900000000000006</v>
      </c>
      <c r="F70" s="6">
        <v>56</v>
      </c>
      <c r="G70" s="11">
        <v>45.5</v>
      </c>
      <c r="H70" s="6">
        <v>36.700000000000003</v>
      </c>
      <c r="I70" s="11">
        <v>29.5</v>
      </c>
      <c r="J70" s="6">
        <v>23.7</v>
      </c>
      <c r="K70" s="11">
        <v>19.100000000000001</v>
      </c>
      <c r="L70" s="6">
        <v>15.2</v>
      </c>
    </row>
    <row r="71" spans="1:12" x14ac:dyDescent="0.35">
      <c r="A71" s="6" t="s">
        <v>12</v>
      </c>
      <c r="B71" s="21">
        <v>630</v>
      </c>
      <c r="C71" s="11"/>
      <c r="D71" s="6"/>
      <c r="E71" s="11">
        <v>77.5</v>
      </c>
      <c r="F71" s="6">
        <v>63.1</v>
      </c>
      <c r="G71" s="11">
        <v>51.1</v>
      </c>
      <c r="H71" s="6">
        <v>41.3</v>
      </c>
      <c r="I71" s="11">
        <v>33.1</v>
      </c>
      <c r="J71" s="6">
        <v>26.7</v>
      </c>
      <c r="K71" s="11">
        <v>21.4</v>
      </c>
      <c r="L71" s="6">
        <v>17.100000000000001</v>
      </c>
    </row>
    <row r="72" spans="1:12" x14ac:dyDescent="0.35">
      <c r="A72" s="6" t="s">
        <v>12</v>
      </c>
      <c r="B72" s="21">
        <v>710</v>
      </c>
      <c r="C72" s="11"/>
      <c r="D72" s="6"/>
      <c r="E72" s="11">
        <v>87.4</v>
      </c>
      <c r="F72" s="6">
        <v>71.099999999999994</v>
      </c>
      <c r="G72" s="11">
        <v>57.6</v>
      </c>
      <c r="H72" s="6">
        <v>46.5</v>
      </c>
      <c r="I72" s="11">
        <v>37.4</v>
      </c>
      <c r="J72" s="6">
        <v>30.1</v>
      </c>
      <c r="K72" s="11">
        <v>24.1</v>
      </c>
      <c r="L72" s="6">
        <v>19.3</v>
      </c>
    </row>
    <row r="73" spans="1:12" x14ac:dyDescent="0.35">
      <c r="A73" s="6" t="s">
        <v>12</v>
      </c>
      <c r="B73" s="21">
        <v>800</v>
      </c>
      <c r="C73" s="11"/>
      <c r="D73" s="6"/>
      <c r="E73" s="11">
        <v>98.4</v>
      </c>
      <c r="F73" s="6">
        <v>80</v>
      </c>
      <c r="G73" s="11">
        <v>64.8</v>
      </c>
      <c r="H73" s="6">
        <v>52.3</v>
      </c>
      <c r="I73" s="11">
        <v>42.1</v>
      </c>
      <c r="J73" s="6">
        <v>33.799999999999997</v>
      </c>
      <c r="K73" s="11">
        <v>27.1</v>
      </c>
      <c r="L73" s="6">
        <v>21.7</v>
      </c>
    </row>
    <row r="74" spans="1:12" x14ac:dyDescent="0.35">
      <c r="A74" s="6" t="s">
        <v>13</v>
      </c>
      <c r="B74" s="21">
        <v>900</v>
      </c>
      <c r="C74" s="11"/>
      <c r="D74" s="6"/>
      <c r="E74" s="11"/>
      <c r="F74" s="6">
        <v>90</v>
      </c>
      <c r="G74" s="11">
        <v>72.900000000000006</v>
      </c>
      <c r="H74" s="6">
        <v>58.8</v>
      </c>
      <c r="I74" s="11">
        <v>47.3</v>
      </c>
      <c r="J74" s="6">
        <v>38.299999999999997</v>
      </c>
      <c r="K74" s="11">
        <v>30.5</v>
      </c>
      <c r="L74" s="6">
        <v>24.3</v>
      </c>
    </row>
    <row r="75" spans="1:12" x14ac:dyDescent="0.35">
      <c r="A75" s="6" t="s">
        <v>12</v>
      </c>
      <c r="B75" s="21">
        <v>1000</v>
      </c>
      <c r="C75" s="11"/>
      <c r="D75" s="6"/>
      <c r="E75" s="11"/>
      <c r="F75" s="6">
        <v>100</v>
      </c>
      <c r="G75" s="11">
        <v>80.900000000000006</v>
      </c>
      <c r="H75" s="6">
        <v>65.400000000000006</v>
      </c>
      <c r="I75" s="11">
        <v>52.6</v>
      </c>
      <c r="J75" s="6">
        <v>42.2</v>
      </c>
      <c r="K75" s="11">
        <v>33.5</v>
      </c>
      <c r="L75" s="6">
        <v>27.1</v>
      </c>
    </row>
    <row r="76" spans="1:12" x14ac:dyDescent="0.35">
      <c r="A76" s="6" t="s">
        <v>13</v>
      </c>
      <c r="B76" s="21">
        <v>1200</v>
      </c>
      <c r="C76" s="11"/>
      <c r="D76" s="6"/>
      <c r="E76" s="11"/>
      <c r="F76" s="6"/>
      <c r="G76" s="11">
        <v>97.2</v>
      </c>
      <c r="H76" s="6">
        <v>78.400000000000006</v>
      </c>
      <c r="I76" s="11">
        <v>63.1</v>
      </c>
      <c r="J76" s="6">
        <v>50.6</v>
      </c>
      <c r="K76" s="11">
        <v>40.5</v>
      </c>
      <c r="L76" s="6">
        <v>32.5</v>
      </c>
    </row>
    <row r="77" spans="1:12" x14ac:dyDescent="0.35">
      <c r="A77" s="6" t="s">
        <v>13</v>
      </c>
      <c r="B77" s="21">
        <v>1400</v>
      </c>
      <c r="C77" s="11"/>
      <c r="D77" s="6"/>
      <c r="E77" s="11"/>
      <c r="F77" s="6"/>
      <c r="G77" s="11">
        <v>113.3</v>
      </c>
      <c r="H77" s="6">
        <v>91.5</v>
      </c>
      <c r="I77" s="11">
        <v>73.5</v>
      </c>
      <c r="J77" s="6">
        <v>59</v>
      </c>
      <c r="K77" s="11">
        <v>47.3</v>
      </c>
      <c r="L77" s="6">
        <v>37.9</v>
      </c>
    </row>
    <row r="78" spans="1:12" x14ac:dyDescent="0.35">
      <c r="A78" s="6" t="s">
        <v>13</v>
      </c>
      <c r="B78" s="21">
        <v>1600</v>
      </c>
      <c r="C78" s="11"/>
      <c r="D78" s="6"/>
      <c r="E78" s="11"/>
      <c r="F78" s="6"/>
      <c r="G78" s="11">
        <v>129.4</v>
      </c>
      <c r="H78" s="6">
        <v>104.4</v>
      </c>
      <c r="I78" s="11">
        <v>84</v>
      </c>
      <c r="J78" s="6">
        <v>67.5</v>
      </c>
      <c r="K78" s="11">
        <v>54</v>
      </c>
      <c r="L78" s="6">
        <v>43.3</v>
      </c>
    </row>
    <row r="79" spans="1:12" x14ac:dyDescent="0.35">
      <c r="A79" s="6" t="s">
        <v>13</v>
      </c>
      <c r="B79" s="21">
        <v>1800</v>
      </c>
      <c r="C79" s="11"/>
      <c r="D79" s="6"/>
      <c r="E79" s="11"/>
      <c r="F79" s="6"/>
      <c r="G79" s="11"/>
      <c r="H79" s="6">
        <v>117.4</v>
      </c>
      <c r="I79" s="11">
        <v>94.5</v>
      </c>
      <c r="J79" s="6">
        <v>75.8</v>
      </c>
      <c r="K79" s="11">
        <v>60.8</v>
      </c>
      <c r="L79" s="6">
        <v>48.6</v>
      </c>
    </row>
    <row r="80" spans="1:12" x14ac:dyDescent="0.35">
      <c r="A80" s="6" t="s">
        <v>13</v>
      </c>
      <c r="B80" s="21">
        <v>2000</v>
      </c>
      <c r="C80" s="11"/>
      <c r="D80" s="6"/>
      <c r="E80" s="11"/>
      <c r="F80" s="6"/>
      <c r="G80" s="11"/>
      <c r="H80" s="6">
        <v>130.4</v>
      </c>
      <c r="I80" s="11">
        <v>105</v>
      </c>
      <c r="J80" s="6">
        <v>84.2</v>
      </c>
      <c r="K80" s="11">
        <v>67.5</v>
      </c>
      <c r="L80" s="6">
        <v>53.9</v>
      </c>
    </row>
    <row r="81" spans="1:12" x14ac:dyDescent="0.35">
      <c r="A81" s="6" t="s">
        <v>13</v>
      </c>
      <c r="B81" s="21">
        <v>2250</v>
      </c>
      <c r="C81" s="11"/>
      <c r="D81" s="6"/>
      <c r="E81" s="11"/>
      <c r="F81" s="6"/>
      <c r="G81" s="11"/>
      <c r="H81" s="6"/>
      <c r="I81" s="11">
        <v>118.1</v>
      </c>
      <c r="J81" s="6">
        <v>94.8</v>
      </c>
      <c r="K81" s="11">
        <v>75.900000000000006</v>
      </c>
      <c r="L81" s="6">
        <v>60.7</v>
      </c>
    </row>
    <row r="82" spans="1:12" x14ac:dyDescent="0.35">
      <c r="A82" s="6" t="s">
        <v>13</v>
      </c>
      <c r="B82" s="21">
        <v>2500</v>
      </c>
      <c r="C82" s="11"/>
      <c r="D82" s="6"/>
      <c r="E82" s="11"/>
      <c r="F82" s="6"/>
      <c r="G82" s="11"/>
      <c r="H82" s="6"/>
      <c r="I82" s="11">
        <v>131.19999999999999</v>
      </c>
      <c r="J82" s="6">
        <v>105.2</v>
      </c>
      <c r="K82" s="11">
        <v>84.3</v>
      </c>
      <c r="L82" s="6">
        <v>67.5</v>
      </c>
    </row>
  </sheetData>
  <mergeCells count="3">
    <mergeCell ref="B1:L1"/>
    <mergeCell ref="Q1:AA1"/>
    <mergeCell ref="AC1:AM1"/>
  </mergeCells>
  <conditionalFormatting sqref="AD6:AM41">
    <cfRule type="cellIs" dxfId="0" priority="1" operator="greaterThanOrEqual">
      <formula>0.0199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5312F-ECD8-483C-9CD1-E32CEAE5079B}">
  <dimension ref="A2:L60"/>
  <sheetViews>
    <sheetView topLeftCell="A18" workbookViewId="0">
      <selection activeCell="G36" sqref="G36"/>
    </sheetView>
  </sheetViews>
  <sheetFormatPr defaultColWidth="8.86328125" defaultRowHeight="14.25" x14ac:dyDescent="0.45"/>
  <cols>
    <col min="1" max="1" width="8.86328125" style="180"/>
    <col min="2" max="2" width="10.265625" style="180" bestFit="1" customWidth="1"/>
    <col min="3" max="3" width="8.86328125" style="180"/>
    <col min="4" max="4" width="15.59765625" style="180" customWidth="1"/>
    <col min="5" max="5" width="16.86328125" style="180" customWidth="1"/>
    <col min="6" max="6" width="12.265625" style="180" customWidth="1"/>
    <col min="7" max="18" width="8.86328125" style="180"/>
    <col min="19" max="19" width="14.86328125" style="180" customWidth="1"/>
    <col min="20" max="20" width="14.1328125" style="180" customWidth="1"/>
    <col min="21" max="16384" width="8.86328125" style="180"/>
  </cols>
  <sheetData>
    <row r="2" spans="2:12" x14ac:dyDescent="0.45">
      <c r="B2" s="184" t="s">
        <v>108</v>
      </c>
      <c r="C2" s="184" t="s">
        <v>27</v>
      </c>
      <c r="D2" s="184" t="s">
        <v>109</v>
      </c>
      <c r="E2" s="184" t="s">
        <v>110</v>
      </c>
    </row>
    <row r="3" spans="2:12" ht="15.75" x14ac:dyDescent="0.45">
      <c r="B3" s="184">
        <v>0.01</v>
      </c>
      <c r="C3" s="184" t="s">
        <v>16</v>
      </c>
      <c r="D3" s="184">
        <v>10</v>
      </c>
      <c r="E3" s="185">
        <f>892.42*B3^-0.192</f>
        <v>2160.5747418882997</v>
      </c>
      <c r="L3" s="180" t="s">
        <v>111</v>
      </c>
    </row>
    <row r="4" spans="2:12" x14ac:dyDescent="0.45">
      <c r="B4" s="184">
        <v>0.1</v>
      </c>
      <c r="C4" s="184" t="s">
        <v>16</v>
      </c>
      <c r="D4" s="184">
        <v>10</v>
      </c>
      <c r="E4" s="185">
        <f t="shared" ref="E4:E5" si="0">892.42*B4^-0.192</f>
        <v>1388.5748489570003</v>
      </c>
    </row>
    <row r="5" spans="2:12" x14ac:dyDescent="0.45">
      <c r="B5" s="184">
        <v>1</v>
      </c>
      <c r="C5" s="184" t="s">
        <v>16</v>
      </c>
      <c r="D5" s="184">
        <v>10</v>
      </c>
      <c r="E5" s="185">
        <f t="shared" si="0"/>
        <v>892.42</v>
      </c>
    </row>
    <row r="6" spans="2:12" x14ac:dyDescent="0.45">
      <c r="B6" s="184"/>
      <c r="C6" s="184"/>
      <c r="D6" s="184"/>
      <c r="E6" s="185"/>
    </row>
    <row r="7" spans="2:12" x14ac:dyDescent="0.45">
      <c r="B7" s="184" t="s">
        <v>108</v>
      </c>
      <c r="C7" s="184" t="s">
        <v>27</v>
      </c>
      <c r="D7" s="184" t="s">
        <v>69</v>
      </c>
      <c r="E7" s="184" t="s">
        <v>112</v>
      </c>
    </row>
    <row r="8" spans="2:12" ht="15.75" x14ac:dyDescent="0.45">
      <c r="B8" s="184">
        <v>0.01</v>
      </c>
      <c r="C8" s="184" t="s">
        <v>16</v>
      </c>
      <c r="D8" s="184">
        <v>20</v>
      </c>
      <c r="E8" s="185">
        <f>606.14*B8^-0.232</f>
        <v>1764.3020739448918</v>
      </c>
      <c r="L8" s="180" t="s">
        <v>113</v>
      </c>
    </row>
    <row r="9" spans="2:12" x14ac:dyDescent="0.45">
      <c r="B9" s="184">
        <v>0.1</v>
      </c>
      <c r="C9" s="184" t="s">
        <v>16</v>
      </c>
      <c r="D9" s="184">
        <v>20</v>
      </c>
      <c r="E9" s="185">
        <f t="shared" ref="E9:E10" si="1">606.14*B9^-0.232</f>
        <v>1034.1247792703532</v>
      </c>
    </row>
    <row r="10" spans="2:12" x14ac:dyDescent="0.45">
      <c r="B10" s="184">
        <v>1</v>
      </c>
      <c r="C10" s="184" t="s">
        <v>16</v>
      </c>
      <c r="D10" s="184">
        <v>20</v>
      </c>
      <c r="E10" s="185">
        <f t="shared" si="1"/>
        <v>606.14</v>
      </c>
    </row>
    <row r="11" spans="2:12" x14ac:dyDescent="0.45">
      <c r="B11" s="184"/>
      <c r="C11" s="184"/>
      <c r="D11" s="184"/>
      <c r="E11" s="185"/>
    </row>
    <row r="12" spans="2:12" ht="15.75" x14ac:dyDescent="0.45">
      <c r="B12" s="184">
        <v>0.01</v>
      </c>
      <c r="C12" s="184" t="s">
        <v>31</v>
      </c>
      <c r="D12" s="184">
        <v>20</v>
      </c>
      <c r="E12" s="185">
        <f>407.78*B12^-0.214</f>
        <v>1092.5112594947045</v>
      </c>
      <c r="L12" s="180" t="s">
        <v>114</v>
      </c>
    </row>
    <row r="13" spans="2:12" x14ac:dyDescent="0.45">
      <c r="B13" s="184">
        <v>0.1</v>
      </c>
      <c r="C13" s="184" t="s">
        <v>31</v>
      </c>
      <c r="D13" s="184">
        <v>20</v>
      </c>
      <c r="E13" s="185">
        <f t="shared" ref="E13:E14" si="2">407.78*B13^-0.214</f>
        <v>667.46104110783176</v>
      </c>
    </row>
    <row r="14" spans="2:12" x14ac:dyDescent="0.45">
      <c r="B14" s="184">
        <v>1</v>
      </c>
      <c r="C14" s="184" t="s">
        <v>31</v>
      </c>
      <c r="D14" s="184">
        <v>20</v>
      </c>
      <c r="E14" s="185">
        <f t="shared" si="2"/>
        <v>407.78</v>
      </c>
    </row>
    <row r="15" spans="2:12" x14ac:dyDescent="0.45">
      <c r="B15" s="184"/>
      <c r="C15" s="184"/>
      <c r="D15" s="184"/>
      <c r="E15" s="184"/>
    </row>
    <row r="16" spans="2:12" x14ac:dyDescent="0.45">
      <c r="B16" s="184" t="s">
        <v>108</v>
      </c>
      <c r="C16" s="184" t="s">
        <v>27</v>
      </c>
      <c r="D16" s="184" t="s">
        <v>69</v>
      </c>
      <c r="E16" s="184" t="s">
        <v>112</v>
      </c>
    </row>
    <row r="17" spans="1:12" ht="15.75" x14ac:dyDescent="0.45">
      <c r="B17" s="184">
        <v>0.01</v>
      </c>
      <c r="C17" s="184" t="s">
        <v>16</v>
      </c>
      <c r="D17" s="184">
        <v>25</v>
      </c>
      <c r="E17" s="185">
        <f>435.09*B17^-0.267</f>
        <v>1487.9183564328957</v>
      </c>
      <c r="L17" s="180" t="s">
        <v>115</v>
      </c>
    </row>
    <row r="18" spans="1:12" x14ac:dyDescent="0.45">
      <c r="B18" s="184">
        <v>0.1</v>
      </c>
      <c r="C18" s="184" t="s">
        <v>16</v>
      </c>
      <c r="D18" s="184">
        <v>25</v>
      </c>
      <c r="E18" s="185">
        <f t="shared" ref="E18:E19" si="3">435.09*B18^-0.267</f>
        <v>804.59828343117192</v>
      </c>
    </row>
    <row r="19" spans="1:12" x14ac:dyDescent="0.45">
      <c r="B19" s="184">
        <v>1</v>
      </c>
      <c r="C19" s="184" t="s">
        <v>16</v>
      </c>
      <c r="D19" s="184">
        <v>25</v>
      </c>
      <c r="E19" s="185">
        <f t="shared" si="3"/>
        <v>435.09</v>
      </c>
    </row>
    <row r="20" spans="1:12" x14ac:dyDescent="0.45">
      <c r="B20" s="184"/>
      <c r="C20" s="184"/>
      <c r="D20" s="184"/>
      <c r="E20" s="185"/>
    </row>
    <row r="21" spans="1:12" ht="15.75" x14ac:dyDescent="0.45">
      <c r="B21" s="184">
        <v>0.01</v>
      </c>
      <c r="C21" s="184" t="s">
        <v>31</v>
      </c>
      <c r="D21" s="184">
        <v>25</v>
      </c>
      <c r="E21" s="185">
        <f>315.78*B21^-0.232</f>
        <v>919.14625154307248</v>
      </c>
      <c r="L21" s="180" t="s">
        <v>116</v>
      </c>
    </row>
    <row r="22" spans="1:12" x14ac:dyDescent="0.45">
      <c r="B22" s="184">
        <v>0.1</v>
      </c>
      <c r="C22" s="184" t="s">
        <v>31</v>
      </c>
      <c r="D22" s="184">
        <v>25</v>
      </c>
      <c r="E22" s="185">
        <f t="shared" ref="E22:E23" si="4">315.78*B22^-0.232</f>
        <v>538.74669679940621</v>
      </c>
    </row>
    <row r="23" spans="1:12" x14ac:dyDescent="0.45">
      <c r="B23" s="184">
        <v>1</v>
      </c>
      <c r="C23" s="184" t="s">
        <v>31</v>
      </c>
      <c r="D23" s="184">
        <v>25</v>
      </c>
      <c r="E23" s="185">
        <f t="shared" si="4"/>
        <v>315.77999999999997</v>
      </c>
    </row>
    <row r="25" spans="1:12" x14ac:dyDescent="0.45">
      <c r="B25" s="184"/>
      <c r="C25" s="184"/>
      <c r="D25" s="184"/>
      <c r="E25" s="184"/>
      <c r="F25" s="184"/>
      <c r="G25" s="184"/>
    </row>
    <row r="26" spans="1:12" x14ac:dyDescent="0.45">
      <c r="A26" s="180" t="s">
        <v>120</v>
      </c>
      <c r="B26" s="184" t="s">
        <v>117</v>
      </c>
      <c r="C26" s="184" t="s">
        <v>118</v>
      </c>
      <c r="D26" s="184" t="s">
        <v>27</v>
      </c>
      <c r="E26" s="184" t="s">
        <v>109</v>
      </c>
      <c r="F26" s="184" t="s">
        <v>110</v>
      </c>
      <c r="G26" s="184" t="s">
        <v>119</v>
      </c>
    </row>
    <row r="27" spans="1:12" x14ac:dyDescent="0.45">
      <c r="A27" s="180">
        <v>30</v>
      </c>
      <c r="B27" s="184">
        <f>$A$27</f>
        <v>30</v>
      </c>
      <c r="C27" s="184">
        <f>B27/60</f>
        <v>0.5</v>
      </c>
      <c r="D27" s="184" t="s">
        <v>16</v>
      </c>
      <c r="E27" s="184">
        <v>10</v>
      </c>
      <c r="F27" s="185">
        <f t="shared" ref="F27" si="5">892.42*C27^-0.192</f>
        <v>1019.4526376125787</v>
      </c>
      <c r="G27" s="184">
        <v>0.192</v>
      </c>
    </row>
    <row r="28" spans="1:12" x14ac:dyDescent="0.45">
      <c r="B28" s="184">
        <f>$A$27</f>
        <v>30</v>
      </c>
      <c r="C28" s="184">
        <f t="shared" ref="C28:C33" si="6">B28/60</f>
        <v>0.5</v>
      </c>
      <c r="D28" s="184" t="s">
        <v>16</v>
      </c>
      <c r="E28" s="184">
        <v>20</v>
      </c>
      <c r="F28" s="185">
        <f t="shared" ref="F28" si="7">606.14*C28^-0.232</f>
        <v>711.88837923144388</v>
      </c>
      <c r="G28" s="184">
        <v>0.23200000000000001</v>
      </c>
    </row>
    <row r="29" spans="1:12" x14ac:dyDescent="0.45">
      <c r="B29" s="184">
        <f>$A$27</f>
        <v>30</v>
      </c>
      <c r="C29" s="184">
        <f t="shared" si="6"/>
        <v>0.5</v>
      </c>
      <c r="D29" s="184" t="s">
        <v>16</v>
      </c>
      <c r="E29" s="184">
        <v>25</v>
      </c>
      <c r="F29" s="185">
        <f t="shared" ref="F29" si="8">435.09*C29^-0.267</f>
        <v>523.54511358212346</v>
      </c>
      <c r="G29" s="184">
        <v>0.26700000000000002</v>
      </c>
    </row>
    <row r="30" spans="1:12" x14ac:dyDescent="0.45">
      <c r="B30" s="184"/>
      <c r="C30" s="184"/>
      <c r="D30" s="184"/>
      <c r="E30" s="184"/>
      <c r="F30" s="184"/>
      <c r="G30" s="184"/>
    </row>
    <row r="31" spans="1:12" x14ac:dyDescent="0.45">
      <c r="B31" s="184"/>
      <c r="C31" s="184"/>
      <c r="D31" s="184"/>
      <c r="E31" s="184"/>
      <c r="F31" s="185"/>
      <c r="G31" s="184"/>
    </row>
    <row r="32" spans="1:12" x14ac:dyDescent="0.45">
      <c r="B32" s="184">
        <f>$A$27</f>
        <v>30</v>
      </c>
      <c r="C32" s="184">
        <f t="shared" si="6"/>
        <v>0.5</v>
      </c>
      <c r="D32" s="184" t="s">
        <v>31</v>
      </c>
      <c r="E32" s="184">
        <v>20</v>
      </c>
      <c r="F32" s="185">
        <f t="shared" ref="F32" si="9">407.78*C32^-0.214</f>
        <v>472.98388111422605</v>
      </c>
      <c r="G32" s="184">
        <v>0.214</v>
      </c>
    </row>
    <row r="33" spans="2:7" x14ac:dyDescent="0.45">
      <c r="B33" s="184">
        <f>$A$27</f>
        <v>30</v>
      </c>
      <c r="C33" s="184">
        <f t="shared" si="6"/>
        <v>0.5</v>
      </c>
      <c r="D33" s="184" t="s">
        <v>31</v>
      </c>
      <c r="E33" s="184">
        <v>25</v>
      </c>
      <c r="F33" s="185">
        <f t="shared" ref="F33" si="10">315.78*C33^-0.232</f>
        <v>370.87160126984747</v>
      </c>
      <c r="G33" s="184">
        <v>0.23200000000000001</v>
      </c>
    </row>
    <row r="34" spans="2:7" x14ac:dyDescent="0.45">
      <c r="B34" s="184"/>
      <c r="C34" s="184"/>
      <c r="D34" s="184"/>
      <c r="E34" s="184"/>
      <c r="F34" s="184"/>
      <c r="G34" s="184"/>
    </row>
    <row r="35" spans="2:7" x14ac:dyDescent="0.45">
      <c r="B35" s="184"/>
      <c r="C35" s="184"/>
      <c r="D35" s="184"/>
      <c r="E35" s="184"/>
      <c r="F35" s="184"/>
      <c r="G35" s="184"/>
    </row>
    <row r="36" spans="2:7" x14ac:dyDescent="0.45">
      <c r="B36" s="184"/>
      <c r="C36" s="184"/>
      <c r="D36" s="184"/>
      <c r="E36" s="184"/>
      <c r="F36" s="185"/>
      <c r="G36" s="184"/>
    </row>
    <row r="37" spans="2:7" x14ac:dyDescent="0.45">
      <c r="B37" s="184"/>
      <c r="C37" s="184"/>
      <c r="D37" s="184"/>
      <c r="E37" s="184"/>
      <c r="F37" s="185"/>
      <c r="G37" s="184"/>
    </row>
    <row r="38" spans="2:7" x14ac:dyDescent="0.45">
      <c r="B38" s="184"/>
      <c r="C38" s="184"/>
      <c r="D38" s="184"/>
      <c r="E38" s="184"/>
      <c r="F38" s="185"/>
      <c r="G38" s="184"/>
    </row>
    <row r="39" spans="2:7" x14ac:dyDescent="0.45">
      <c r="B39" s="184"/>
      <c r="C39" s="184"/>
      <c r="D39" s="184"/>
      <c r="E39" s="184"/>
      <c r="F39" s="184"/>
      <c r="G39" s="184"/>
    </row>
    <row r="40" spans="2:7" x14ac:dyDescent="0.45">
      <c r="B40" s="184"/>
      <c r="C40" s="184"/>
      <c r="D40" s="184"/>
      <c r="E40" s="184"/>
      <c r="F40" s="185"/>
      <c r="G40" s="184"/>
    </row>
    <row r="41" spans="2:7" x14ac:dyDescent="0.45">
      <c r="B41" s="184"/>
      <c r="C41" s="184"/>
      <c r="D41" s="184"/>
      <c r="E41" s="184"/>
      <c r="F41" s="185"/>
      <c r="G41" s="184"/>
    </row>
    <row r="42" spans="2:7" x14ac:dyDescent="0.45">
      <c r="B42" s="184"/>
      <c r="C42" s="184"/>
      <c r="D42" s="184"/>
      <c r="E42" s="184"/>
      <c r="F42" s="185"/>
      <c r="G42" s="184"/>
    </row>
    <row r="43" spans="2:7" x14ac:dyDescent="0.45">
      <c r="B43" s="184"/>
      <c r="C43" s="184"/>
      <c r="D43" s="184"/>
      <c r="E43" s="184"/>
      <c r="F43" s="184"/>
      <c r="G43" s="184"/>
    </row>
    <row r="44" spans="2:7" x14ac:dyDescent="0.45">
      <c r="B44" s="184"/>
      <c r="C44" s="184"/>
      <c r="D44" s="184"/>
      <c r="E44" s="184"/>
      <c r="F44" s="184"/>
      <c r="G44" s="184"/>
    </row>
    <row r="45" spans="2:7" x14ac:dyDescent="0.45">
      <c r="B45" s="184"/>
      <c r="C45" s="184"/>
      <c r="D45" s="184"/>
      <c r="E45" s="184"/>
      <c r="F45" s="185"/>
      <c r="G45" s="184"/>
    </row>
    <row r="46" spans="2:7" x14ac:dyDescent="0.45">
      <c r="B46" s="184"/>
      <c r="C46" s="184"/>
      <c r="D46" s="184"/>
      <c r="E46" s="184"/>
      <c r="F46" s="185"/>
      <c r="G46" s="184"/>
    </row>
    <row r="47" spans="2:7" x14ac:dyDescent="0.45">
      <c r="B47" s="184"/>
      <c r="C47" s="184"/>
      <c r="D47" s="184"/>
      <c r="E47" s="184"/>
      <c r="F47" s="185"/>
      <c r="G47" s="184"/>
    </row>
    <row r="48" spans="2:7" x14ac:dyDescent="0.45">
      <c r="B48" s="184"/>
      <c r="C48" s="184"/>
      <c r="D48" s="184"/>
      <c r="E48" s="184"/>
      <c r="F48" s="184"/>
      <c r="G48" s="184"/>
    </row>
    <row r="49" spans="2:7" x14ac:dyDescent="0.45">
      <c r="B49" s="184"/>
      <c r="C49" s="184"/>
      <c r="D49" s="184"/>
      <c r="E49" s="184"/>
      <c r="F49" s="185"/>
      <c r="G49" s="184"/>
    </row>
    <row r="50" spans="2:7" x14ac:dyDescent="0.45">
      <c r="B50" s="184"/>
      <c r="C50" s="184"/>
      <c r="D50" s="184"/>
      <c r="E50" s="184"/>
      <c r="F50" s="185"/>
      <c r="G50" s="184"/>
    </row>
    <row r="51" spans="2:7" x14ac:dyDescent="0.45">
      <c r="B51" s="184"/>
      <c r="C51" s="184"/>
      <c r="D51" s="184"/>
      <c r="E51" s="184"/>
      <c r="F51" s="185"/>
      <c r="G51" s="184"/>
    </row>
    <row r="52" spans="2:7" x14ac:dyDescent="0.45">
      <c r="B52" s="184"/>
      <c r="C52" s="184"/>
      <c r="D52" s="184"/>
      <c r="E52" s="184"/>
      <c r="F52" s="184"/>
      <c r="G52" s="184"/>
    </row>
    <row r="53" spans="2:7" x14ac:dyDescent="0.45">
      <c r="B53" s="184"/>
      <c r="C53" s="184"/>
      <c r="D53" s="184"/>
      <c r="E53" s="184"/>
      <c r="F53" s="184"/>
      <c r="G53" s="184"/>
    </row>
    <row r="54" spans="2:7" x14ac:dyDescent="0.45">
      <c r="B54" s="184"/>
      <c r="C54" s="184"/>
      <c r="D54" s="184"/>
      <c r="E54" s="184"/>
      <c r="F54" s="185"/>
      <c r="G54" s="184"/>
    </row>
    <row r="55" spans="2:7" x14ac:dyDescent="0.45">
      <c r="B55" s="184"/>
      <c r="C55" s="184"/>
      <c r="D55" s="184"/>
      <c r="E55" s="184"/>
      <c r="F55" s="185"/>
      <c r="G55" s="184"/>
    </row>
    <row r="56" spans="2:7" x14ac:dyDescent="0.45">
      <c r="B56" s="184"/>
      <c r="C56" s="184"/>
      <c r="D56" s="184"/>
      <c r="E56" s="184"/>
      <c r="F56" s="185"/>
      <c r="G56" s="184"/>
    </row>
    <row r="57" spans="2:7" x14ac:dyDescent="0.45">
      <c r="B57" s="184"/>
      <c r="C57" s="184"/>
      <c r="D57" s="184"/>
      <c r="E57" s="184"/>
      <c r="F57" s="184"/>
      <c r="G57" s="184"/>
    </row>
    <row r="58" spans="2:7" x14ac:dyDescent="0.45">
      <c r="B58" s="184"/>
      <c r="C58" s="184"/>
      <c r="D58" s="184"/>
      <c r="E58" s="184"/>
      <c r="F58" s="185"/>
      <c r="G58" s="184"/>
    </row>
    <row r="59" spans="2:7" x14ac:dyDescent="0.45">
      <c r="B59" s="184"/>
      <c r="C59" s="184"/>
      <c r="D59" s="184"/>
      <c r="E59" s="184"/>
      <c r="F59" s="185"/>
      <c r="G59" s="184"/>
    </row>
    <row r="60" spans="2:7" x14ac:dyDescent="0.45">
      <c r="B60" s="184"/>
      <c r="C60" s="184"/>
      <c r="D60" s="184"/>
      <c r="E60" s="184"/>
      <c r="F60" s="185"/>
      <c r="G60" s="18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52BF4-0EFA-49BB-8037-438287C1C59E}">
  <dimension ref="A2:S47"/>
  <sheetViews>
    <sheetView workbookViewId="0">
      <selection activeCell="E5" sqref="E5:E34"/>
    </sheetView>
  </sheetViews>
  <sheetFormatPr defaultColWidth="8.86328125" defaultRowHeight="14.25" x14ac:dyDescent="0.45"/>
  <cols>
    <col min="1" max="4" width="8.86328125" style="180"/>
    <col min="5" max="5" width="19.73046875" style="180" customWidth="1"/>
    <col min="6" max="6" width="8.3984375" style="180" customWidth="1"/>
    <col min="7" max="7" width="7.73046875" style="180" customWidth="1"/>
    <col min="8" max="8" width="7.265625" style="180" customWidth="1"/>
    <col min="9" max="9" width="9.73046875" style="180" customWidth="1"/>
    <col min="10" max="10" width="11.265625" style="180" customWidth="1"/>
    <col min="11" max="12" width="7.1328125" style="180" customWidth="1"/>
    <col min="13" max="15" width="8.86328125" style="180"/>
    <col min="16" max="16" width="1.265625" style="180" customWidth="1"/>
    <col min="17" max="18" width="8.86328125" style="180"/>
    <col min="19" max="19" width="24.73046875" style="180" customWidth="1"/>
    <col min="20" max="16384" width="8.86328125" style="180"/>
  </cols>
  <sheetData>
    <row r="2" spans="1:19" x14ac:dyDescent="0.45">
      <c r="F2" s="202" t="s">
        <v>102</v>
      </c>
      <c r="G2" s="202"/>
      <c r="H2" s="202"/>
      <c r="I2" s="202"/>
      <c r="J2" s="202"/>
      <c r="K2" s="202"/>
      <c r="O2"/>
      <c r="P2"/>
      <c r="Q2"/>
      <c r="R2"/>
      <c r="S2"/>
    </row>
    <row r="3" spans="1:19" x14ac:dyDescent="0.45">
      <c r="A3" s="179"/>
      <c r="B3" s="179"/>
      <c r="C3" s="179" t="s">
        <v>16</v>
      </c>
      <c r="D3" s="179"/>
      <c r="E3" s="179"/>
      <c r="F3" s="179"/>
      <c r="G3" s="179"/>
      <c r="H3" s="179"/>
      <c r="I3" s="179" t="s">
        <v>91</v>
      </c>
      <c r="J3" s="179"/>
      <c r="K3" s="179"/>
      <c r="L3" s="179"/>
      <c r="M3" s="179"/>
      <c r="O3"/>
      <c r="P3"/>
      <c r="Q3"/>
      <c r="R3"/>
      <c r="S3"/>
    </row>
    <row r="4" spans="1:19" ht="28.5" x14ac:dyDescent="0.45">
      <c r="A4" s="179" t="s">
        <v>92</v>
      </c>
      <c r="B4" s="179" t="s">
        <v>93</v>
      </c>
      <c r="C4" s="179"/>
      <c r="D4" s="179"/>
      <c r="E4" s="183" t="s">
        <v>101</v>
      </c>
      <c r="F4" s="179"/>
      <c r="G4" s="179"/>
      <c r="H4" s="179"/>
      <c r="I4" s="179" t="s">
        <v>94</v>
      </c>
      <c r="J4" s="179" t="s">
        <v>95</v>
      </c>
      <c r="K4" s="179" t="s">
        <v>96</v>
      </c>
      <c r="L4" s="179"/>
      <c r="M4" s="179"/>
      <c r="O4"/>
      <c r="P4"/>
      <c r="Q4"/>
      <c r="R4"/>
      <c r="S4"/>
    </row>
    <row r="5" spans="1:19" x14ac:dyDescent="0.45">
      <c r="A5" s="180">
        <v>1</v>
      </c>
      <c r="B5" s="180">
        <f>A5/60</f>
        <v>1.6666666666666666E-2</v>
      </c>
      <c r="C5" s="180">
        <v>-43.338000000000001</v>
      </c>
      <c r="D5" s="180">
        <v>2402.6</v>
      </c>
      <c r="E5" s="180" t="str">
        <f>"Epe="&amp;D5&amp;C5&amp;"T"</f>
        <v>Epe=2402.6-43.338T</v>
      </c>
      <c r="F5" s="180">
        <v>10</v>
      </c>
      <c r="G5" s="180">
        <v>20</v>
      </c>
      <c r="H5" s="180">
        <v>25</v>
      </c>
      <c r="I5" s="181">
        <f t="shared" ref="I5:I23" si="0">(C5*F5)+D5</f>
        <v>1969.2199999999998</v>
      </c>
      <c r="J5" s="181">
        <f t="shared" ref="J5:J23" si="1">(C5*G5)+D5</f>
        <v>1535.84</v>
      </c>
      <c r="K5" s="181">
        <f t="shared" ref="K5:K23" si="2">(C5*H5)+D5</f>
        <v>1319.1499999999999</v>
      </c>
      <c r="L5" s="181"/>
      <c r="O5"/>
      <c r="P5"/>
      <c r="Q5"/>
      <c r="R5"/>
      <c r="S5"/>
    </row>
    <row r="6" spans="1:19" x14ac:dyDescent="0.45">
      <c r="A6" s="180">
        <v>2</v>
      </c>
      <c r="B6" s="180">
        <f t="shared" ref="B6:B37" si="3">A6/60</f>
        <v>3.3333333333333333E-2</v>
      </c>
      <c r="C6" s="180">
        <v>-41.762999999999998</v>
      </c>
      <c r="D6" s="180">
        <v>2141.6</v>
      </c>
      <c r="E6" s="180" t="str">
        <f t="shared" ref="E6:E34" si="4">"Epe="&amp;D6&amp;C6&amp;"T"</f>
        <v>Epe=2141.6-41.763T</v>
      </c>
      <c r="F6" s="180">
        <v>10</v>
      </c>
      <c r="G6" s="180">
        <v>20</v>
      </c>
      <c r="H6" s="180">
        <v>25</v>
      </c>
      <c r="I6" s="180">
        <f t="shared" si="0"/>
        <v>1723.9699999999998</v>
      </c>
      <c r="J6" s="181">
        <f t="shared" si="1"/>
        <v>1306.3399999999999</v>
      </c>
      <c r="K6" s="181">
        <f t="shared" si="2"/>
        <v>1097.5249999999999</v>
      </c>
      <c r="L6" s="181"/>
      <c r="O6"/>
      <c r="P6"/>
      <c r="Q6"/>
      <c r="R6"/>
      <c r="S6"/>
    </row>
    <row r="7" spans="1:19" x14ac:dyDescent="0.45">
      <c r="A7" s="180">
        <v>3</v>
      </c>
      <c r="B7" s="180">
        <f t="shared" si="3"/>
        <v>0.05</v>
      </c>
      <c r="C7" s="180">
        <v>-40.627000000000002</v>
      </c>
      <c r="D7" s="180">
        <v>2001.2</v>
      </c>
      <c r="E7" s="180" t="str">
        <f t="shared" si="4"/>
        <v>Epe=2001.2-40.627T</v>
      </c>
      <c r="F7" s="180">
        <v>10</v>
      </c>
      <c r="G7" s="180">
        <v>20</v>
      </c>
      <c r="H7" s="180">
        <v>25</v>
      </c>
      <c r="I7" s="180">
        <f t="shared" si="0"/>
        <v>1594.93</v>
      </c>
      <c r="J7" s="181">
        <f t="shared" si="1"/>
        <v>1188.6599999999999</v>
      </c>
      <c r="K7" s="181">
        <f t="shared" si="2"/>
        <v>985.52499999999998</v>
      </c>
      <c r="L7" s="181"/>
      <c r="O7"/>
      <c r="P7"/>
      <c r="Q7"/>
      <c r="R7"/>
      <c r="S7"/>
    </row>
    <row r="8" spans="1:19" x14ac:dyDescent="0.45">
      <c r="A8" s="180">
        <v>4</v>
      </c>
      <c r="B8" s="180">
        <f t="shared" si="3"/>
        <v>6.6666666666666666E-2</v>
      </c>
      <c r="C8" s="180">
        <v>-39.75</v>
      </c>
      <c r="D8" s="180">
        <v>1906.6</v>
      </c>
      <c r="E8" s="180" t="str">
        <f t="shared" si="4"/>
        <v>Epe=1906.6-39.75T</v>
      </c>
      <c r="F8" s="180">
        <v>10</v>
      </c>
      <c r="G8" s="180">
        <v>20</v>
      </c>
      <c r="H8" s="180">
        <v>25</v>
      </c>
      <c r="I8" s="180">
        <f t="shared" si="0"/>
        <v>1509.1</v>
      </c>
      <c r="J8" s="181">
        <f t="shared" si="1"/>
        <v>1111.5999999999999</v>
      </c>
      <c r="K8" s="181">
        <f t="shared" si="2"/>
        <v>912.84999999999991</v>
      </c>
      <c r="L8" s="181"/>
      <c r="O8"/>
      <c r="P8"/>
      <c r="Q8"/>
      <c r="R8"/>
      <c r="S8"/>
    </row>
    <row r="9" spans="1:19" x14ac:dyDescent="0.45">
      <c r="A9" s="180">
        <v>5</v>
      </c>
      <c r="B9" s="180">
        <f t="shared" si="3"/>
        <v>8.3333333333333329E-2</v>
      </c>
      <c r="C9" s="180">
        <v>-39.034999999999997</v>
      </c>
      <c r="D9" s="180">
        <v>1836.2</v>
      </c>
      <c r="E9" s="180" t="str">
        <f t="shared" si="4"/>
        <v>Epe=1836.2-39.035T</v>
      </c>
      <c r="F9" s="180">
        <v>10</v>
      </c>
      <c r="G9" s="180">
        <v>20</v>
      </c>
      <c r="H9" s="180">
        <v>25</v>
      </c>
      <c r="I9" s="180">
        <f t="shared" si="0"/>
        <v>1445.8500000000001</v>
      </c>
      <c r="J9" s="181">
        <f t="shared" si="1"/>
        <v>1055.5</v>
      </c>
      <c r="K9" s="181">
        <f t="shared" si="2"/>
        <v>860.32500000000016</v>
      </c>
      <c r="L9" s="181"/>
      <c r="O9"/>
      <c r="P9"/>
      <c r="Q9"/>
      <c r="R9"/>
      <c r="S9"/>
    </row>
    <row r="10" spans="1:19" x14ac:dyDescent="0.45">
      <c r="A10" s="180">
        <v>6</v>
      </c>
      <c r="B10" s="180">
        <f t="shared" si="3"/>
        <v>0.1</v>
      </c>
      <c r="C10" s="180">
        <v>-38.433999999999997</v>
      </c>
      <c r="D10" s="180">
        <v>1780.4</v>
      </c>
      <c r="E10" s="180" t="str">
        <f t="shared" si="4"/>
        <v>Epe=1780.4-38.434T</v>
      </c>
      <c r="F10" s="180">
        <v>10</v>
      </c>
      <c r="G10" s="180">
        <v>20</v>
      </c>
      <c r="H10" s="180">
        <v>25</v>
      </c>
      <c r="I10" s="180">
        <f t="shared" si="0"/>
        <v>1396.0600000000002</v>
      </c>
      <c r="J10" s="181">
        <f t="shared" si="1"/>
        <v>1011.7200000000001</v>
      </c>
      <c r="K10" s="181">
        <f t="shared" si="2"/>
        <v>819.55000000000018</v>
      </c>
      <c r="L10" s="181"/>
      <c r="O10"/>
      <c r="P10"/>
      <c r="Q10"/>
      <c r="R10"/>
      <c r="S10"/>
    </row>
    <row r="11" spans="1:19" x14ac:dyDescent="0.45">
      <c r="A11" s="180">
        <v>7</v>
      </c>
      <c r="B11" s="180">
        <f t="shared" si="3"/>
        <v>0.11666666666666667</v>
      </c>
      <c r="C11" s="180">
        <v>-37.914000000000001</v>
      </c>
      <c r="D11" s="180">
        <v>1734.4</v>
      </c>
      <c r="E11" s="180" t="str">
        <f t="shared" si="4"/>
        <v>Epe=1734.4-37.914T</v>
      </c>
      <c r="F11" s="180">
        <v>10</v>
      </c>
      <c r="G11" s="180">
        <v>20</v>
      </c>
      <c r="H11" s="180">
        <v>25</v>
      </c>
      <c r="I11" s="180">
        <f t="shared" si="0"/>
        <v>1355.2600000000002</v>
      </c>
      <c r="J11" s="181">
        <f t="shared" si="1"/>
        <v>976.12000000000012</v>
      </c>
      <c r="K11" s="181">
        <f t="shared" si="2"/>
        <v>786.55000000000007</v>
      </c>
      <c r="L11" s="181"/>
      <c r="O11"/>
      <c r="P11"/>
      <c r="Q11"/>
      <c r="R11"/>
      <c r="S11"/>
    </row>
    <row r="12" spans="1:19" x14ac:dyDescent="0.45">
      <c r="A12" s="180">
        <v>8</v>
      </c>
      <c r="B12" s="180">
        <f t="shared" si="3"/>
        <v>0.13333333333333333</v>
      </c>
      <c r="C12" s="180">
        <v>-37.457000000000001</v>
      </c>
      <c r="D12" s="180">
        <v>1695.5</v>
      </c>
      <c r="E12" s="180" t="str">
        <f t="shared" si="4"/>
        <v>Epe=1695.5-37.457T</v>
      </c>
      <c r="F12" s="180">
        <v>10</v>
      </c>
      <c r="G12" s="180">
        <v>20</v>
      </c>
      <c r="H12" s="180">
        <v>25</v>
      </c>
      <c r="I12" s="180">
        <f t="shared" si="0"/>
        <v>1320.93</v>
      </c>
      <c r="J12" s="181">
        <f t="shared" si="1"/>
        <v>946.36</v>
      </c>
      <c r="K12" s="181">
        <f t="shared" si="2"/>
        <v>759.07499999999993</v>
      </c>
      <c r="L12" s="181"/>
      <c r="O12"/>
      <c r="P12"/>
      <c r="Q12"/>
      <c r="R12"/>
      <c r="S12"/>
    </row>
    <row r="13" spans="1:19" x14ac:dyDescent="0.45">
      <c r="A13" s="180">
        <v>9</v>
      </c>
      <c r="B13" s="180">
        <f t="shared" si="3"/>
        <v>0.15</v>
      </c>
      <c r="C13" s="180">
        <v>-37.048999999999999</v>
      </c>
      <c r="D13" s="180">
        <v>1661.9</v>
      </c>
      <c r="E13" s="180" t="str">
        <f t="shared" si="4"/>
        <v>Epe=1661.9-37.049T</v>
      </c>
      <c r="F13" s="180">
        <v>10</v>
      </c>
      <c r="G13" s="180">
        <v>20</v>
      </c>
      <c r="H13" s="180">
        <v>25</v>
      </c>
      <c r="I13" s="180">
        <f t="shared" si="0"/>
        <v>1291.4100000000001</v>
      </c>
      <c r="J13" s="181">
        <f t="shared" si="1"/>
        <v>920.92000000000007</v>
      </c>
      <c r="K13" s="181">
        <f t="shared" si="2"/>
        <v>735.67500000000007</v>
      </c>
      <c r="L13" s="181"/>
      <c r="O13"/>
      <c r="P13"/>
      <c r="Q13"/>
      <c r="R13"/>
      <c r="S13"/>
    </row>
    <row r="14" spans="1:19" x14ac:dyDescent="0.45">
      <c r="A14" s="180">
        <v>10</v>
      </c>
      <c r="B14" s="180">
        <f t="shared" si="3"/>
        <v>0.16666666666666666</v>
      </c>
      <c r="C14" s="180">
        <v>-36.680999999999997</v>
      </c>
      <c r="D14" s="180">
        <v>1632.3</v>
      </c>
      <c r="E14" s="180" t="str">
        <f t="shared" si="4"/>
        <v>Epe=1632.3-36.681T</v>
      </c>
      <c r="F14" s="180">
        <v>10</v>
      </c>
      <c r="G14" s="180">
        <v>20</v>
      </c>
      <c r="H14" s="180">
        <v>25</v>
      </c>
      <c r="I14" s="180">
        <f t="shared" si="0"/>
        <v>1265.49</v>
      </c>
      <c r="J14" s="181">
        <f t="shared" si="1"/>
        <v>898.68000000000006</v>
      </c>
      <c r="K14" s="181">
        <f t="shared" si="2"/>
        <v>715.27499999999998</v>
      </c>
      <c r="L14" s="181"/>
      <c r="O14"/>
      <c r="P14"/>
      <c r="Q14"/>
      <c r="R14"/>
      <c r="S14"/>
    </row>
    <row r="15" spans="1:19" x14ac:dyDescent="0.45">
      <c r="A15" s="180">
        <v>11</v>
      </c>
      <c r="B15" s="180">
        <f t="shared" si="3"/>
        <v>0.18333333333333332</v>
      </c>
      <c r="C15" s="180">
        <v>-36.645000000000003</v>
      </c>
      <c r="D15" s="180">
        <v>1605.9</v>
      </c>
      <c r="E15" s="180" t="str">
        <f t="shared" si="4"/>
        <v>Epe=1605.9-36.645T</v>
      </c>
      <c r="F15" s="180">
        <v>10</v>
      </c>
      <c r="G15" s="180">
        <v>20</v>
      </c>
      <c r="H15" s="180">
        <v>25</v>
      </c>
      <c r="I15" s="180">
        <f t="shared" si="0"/>
        <v>1239.45</v>
      </c>
      <c r="J15" s="181">
        <f t="shared" si="1"/>
        <v>873</v>
      </c>
      <c r="K15" s="181">
        <f t="shared" si="2"/>
        <v>689.77499999999998</v>
      </c>
      <c r="L15" s="181"/>
      <c r="O15"/>
      <c r="P15"/>
      <c r="Q15"/>
      <c r="R15"/>
      <c r="S15"/>
    </row>
    <row r="16" spans="1:19" x14ac:dyDescent="0.45">
      <c r="A16" s="180">
        <v>12</v>
      </c>
      <c r="B16" s="180">
        <f t="shared" si="3"/>
        <v>0.2</v>
      </c>
      <c r="C16" s="180">
        <v>-36.036999999999999</v>
      </c>
      <c r="D16" s="180">
        <v>1582.2</v>
      </c>
      <c r="E16" s="180" t="str">
        <f t="shared" si="4"/>
        <v>Epe=1582.2-36.037T</v>
      </c>
      <c r="F16" s="180">
        <v>10</v>
      </c>
      <c r="G16" s="180">
        <v>20</v>
      </c>
      <c r="H16" s="180">
        <v>25</v>
      </c>
      <c r="I16" s="180">
        <f t="shared" si="0"/>
        <v>1221.83</v>
      </c>
      <c r="J16" s="181">
        <f t="shared" si="1"/>
        <v>861.46</v>
      </c>
      <c r="K16" s="181">
        <f t="shared" si="2"/>
        <v>681.27500000000009</v>
      </c>
      <c r="L16" s="181"/>
      <c r="O16"/>
      <c r="P16"/>
      <c r="Q16"/>
      <c r="R16"/>
      <c r="S16"/>
    </row>
    <row r="17" spans="1:19" x14ac:dyDescent="0.45">
      <c r="A17" s="180">
        <v>13</v>
      </c>
      <c r="B17" s="180">
        <f t="shared" si="3"/>
        <v>0.21666666666666667</v>
      </c>
      <c r="C17" s="180">
        <v>-35.752000000000002</v>
      </c>
      <c r="D17" s="180">
        <v>1560.7</v>
      </c>
      <c r="E17" s="180" t="str">
        <f t="shared" si="4"/>
        <v>Epe=1560.7-35.752T</v>
      </c>
      <c r="F17" s="180">
        <v>10</v>
      </c>
      <c r="G17" s="180">
        <v>20</v>
      </c>
      <c r="H17" s="180">
        <v>25</v>
      </c>
      <c r="I17" s="180">
        <f t="shared" si="0"/>
        <v>1203.18</v>
      </c>
      <c r="J17" s="181">
        <f t="shared" si="1"/>
        <v>845.66</v>
      </c>
      <c r="K17" s="181">
        <f t="shared" si="2"/>
        <v>666.9</v>
      </c>
      <c r="L17" s="181"/>
      <c r="O17"/>
      <c r="P17"/>
      <c r="Q17"/>
      <c r="R17"/>
      <c r="S17"/>
    </row>
    <row r="18" spans="1:19" x14ac:dyDescent="0.45">
      <c r="A18" s="180">
        <v>14</v>
      </c>
      <c r="B18" s="180">
        <f t="shared" si="3"/>
        <v>0.23333333333333334</v>
      </c>
      <c r="C18" s="180">
        <v>-35.488</v>
      </c>
      <c r="D18" s="180">
        <v>1541.1</v>
      </c>
      <c r="E18" s="180" t="str">
        <f t="shared" si="4"/>
        <v>Epe=1541.1-35.488T</v>
      </c>
      <c r="F18" s="180">
        <v>10</v>
      </c>
      <c r="G18" s="180">
        <v>20</v>
      </c>
      <c r="H18" s="180">
        <v>25</v>
      </c>
      <c r="I18" s="180">
        <f t="shared" si="0"/>
        <v>1186.2199999999998</v>
      </c>
      <c r="J18" s="181">
        <f t="shared" si="1"/>
        <v>831.33999999999992</v>
      </c>
      <c r="K18" s="181">
        <f t="shared" si="2"/>
        <v>653.89999999999986</v>
      </c>
      <c r="L18" s="181"/>
      <c r="O18"/>
      <c r="P18"/>
      <c r="Q18"/>
      <c r="R18"/>
      <c r="S18"/>
    </row>
    <row r="19" spans="1:19" x14ac:dyDescent="0.45">
      <c r="A19" s="180">
        <v>15</v>
      </c>
      <c r="B19" s="180">
        <f t="shared" si="3"/>
        <v>0.25</v>
      </c>
      <c r="C19" s="180">
        <v>-35.24</v>
      </c>
      <c r="D19" s="180">
        <v>1523</v>
      </c>
      <c r="E19" s="180" t="str">
        <f t="shared" si="4"/>
        <v>Epe=1523-35.24T</v>
      </c>
      <c r="F19" s="180">
        <v>10</v>
      </c>
      <c r="G19" s="180">
        <v>20</v>
      </c>
      <c r="H19" s="180">
        <v>25</v>
      </c>
      <c r="I19" s="180">
        <f t="shared" si="0"/>
        <v>1170.5999999999999</v>
      </c>
      <c r="J19" s="181">
        <f t="shared" si="1"/>
        <v>818.19999999999993</v>
      </c>
      <c r="K19" s="181">
        <f t="shared" si="2"/>
        <v>642</v>
      </c>
      <c r="L19" s="181"/>
      <c r="O19"/>
      <c r="P19"/>
      <c r="Q19"/>
      <c r="R19"/>
      <c r="S19"/>
    </row>
    <row r="20" spans="1:19" x14ac:dyDescent="0.45">
      <c r="A20" s="180">
        <v>16</v>
      </c>
      <c r="B20" s="180">
        <f t="shared" si="3"/>
        <v>0.26666666666666666</v>
      </c>
      <c r="C20" s="180">
        <v>-35.008000000000003</v>
      </c>
      <c r="D20" s="180">
        <v>1506.2</v>
      </c>
      <c r="E20" s="180" t="str">
        <f t="shared" si="4"/>
        <v>Epe=1506.2-35.008T</v>
      </c>
      <c r="F20" s="180">
        <v>10</v>
      </c>
      <c r="G20" s="180">
        <v>20</v>
      </c>
      <c r="H20" s="180">
        <v>25</v>
      </c>
      <c r="I20" s="180">
        <f t="shared" si="0"/>
        <v>1156.1199999999999</v>
      </c>
      <c r="J20" s="181">
        <f t="shared" si="1"/>
        <v>806.04</v>
      </c>
      <c r="K20" s="181">
        <f t="shared" si="2"/>
        <v>631</v>
      </c>
      <c r="L20" s="181"/>
      <c r="O20"/>
      <c r="P20"/>
      <c r="Q20"/>
      <c r="R20"/>
      <c r="S20"/>
    </row>
    <row r="21" spans="1:19" x14ac:dyDescent="0.45">
      <c r="A21" s="180">
        <v>17</v>
      </c>
      <c r="B21" s="180">
        <f t="shared" si="3"/>
        <v>0.28333333333333333</v>
      </c>
      <c r="C21" s="180">
        <v>-34.79</v>
      </c>
      <c r="D21" s="180">
        <v>1490.6</v>
      </c>
      <c r="E21" s="180" t="str">
        <f t="shared" si="4"/>
        <v>Epe=1490.6-34.79T</v>
      </c>
      <c r="F21" s="180">
        <v>10</v>
      </c>
      <c r="G21" s="180">
        <v>20</v>
      </c>
      <c r="H21" s="180">
        <v>25</v>
      </c>
      <c r="I21" s="180">
        <f t="shared" si="0"/>
        <v>1142.6999999999998</v>
      </c>
      <c r="J21" s="181">
        <f t="shared" si="1"/>
        <v>794.8</v>
      </c>
      <c r="K21" s="181">
        <f t="shared" si="2"/>
        <v>620.84999999999991</v>
      </c>
      <c r="L21" s="181"/>
      <c r="O21"/>
      <c r="P21"/>
      <c r="Q21"/>
      <c r="R21"/>
      <c r="S21"/>
    </row>
    <row r="22" spans="1:19" x14ac:dyDescent="0.45">
      <c r="A22" s="180">
        <v>18</v>
      </c>
      <c r="B22" s="180">
        <f t="shared" si="3"/>
        <v>0.3</v>
      </c>
      <c r="C22" s="180">
        <v>-34.584000000000003</v>
      </c>
      <c r="D22" s="180">
        <v>1476</v>
      </c>
      <c r="E22" s="180" t="str">
        <f t="shared" si="4"/>
        <v>Epe=1476-34.584T</v>
      </c>
      <c r="F22" s="180">
        <v>10</v>
      </c>
      <c r="G22" s="180">
        <v>20</v>
      </c>
      <c r="H22" s="180">
        <v>25</v>
      </c>
      <c r="I22" s="180">
        <f t="shared" si="0"/>
        <v>1130.1599999999999</v>
      </c>
      <c r="J22" s="181">
        <f t="shared" si="1"/>
        <v>784.31999999999994</v>
      </c>
      <c r="K22" s="181">
        <f t="shared" si="2"/>
        <v>611.39999999999986</v>
      </c>
      <c r="L22" s="181"/>
      <c r="O22"/>
      <c r="P22"/>
      <c r="Q22"/>
      <c r="R22"/>
      <c r="S22"/>
    </row>
    <row r="23" spans="1:19" x14ac:dyDescent="0.45">
      <c r="A23" s="180">
        <v>19</v>
      </c>
      <c r="B23" s="180">
        <f t="shared" si="3"/>
        <v>0.31666666666666665</v>
      </c>
      <c r="C23" s="180">
        <v>-34.389000000000003</v>
      </c>
      <c r="D23" s="180">
        <v>1462.4</v>
      </c>
      <c r="E23" s="180" t="str">
        <f t="shared" si="4"/>
        <v>Epe=1462.4-34.389T</v>
      </c>
      <c r="F23" s="180">
        <v>10</v>
      </c>
      <c r="G23" s="180">
        <v>20</v>
      </c>
      <c r="H23" s="180">
        <v>25</v>
      </c>
      <c r="I23" s="180">
        <f t="shared" si="0"/>
        <v>1118.51</v>
      </c>
      <c r="J23" s="181">
        <f t="shared" si="1"/>
        <v>774.62</v>
      </c>
      <c r="K23" s="181">
        <f t="shared" si="2"/>
        <v>602.67500000000007</v>
      </c>
      <c r="L23" s="181"/>
      <c r="O23"/>
      <c r="P23"/>
      <c r="Q23"/>
      <c r="R23"/>
      <c r="S23"/>
    </row>
    <row r="24" spans="1:19" x14ac:dyDescent="0.45">
      <c r="A24" s="180">
        <v>20</v>
      </c>
      <c r="B24" s="180">
        <f t="shared" si="3"/>
        <v>0.33333333333333331</v>
      </c>
      <c r="C24" s="180">
        <v>-34.203000000000003</v>
      </c>
      <c r="D24" s="180">
        <v>1449.6</v>
      </c>
      <c r="E24" s="180" t="str">
        <f t="shared" si="4"/>
        <v>Epe=1449.6-34.203T</v>
      </c>
      <c r="F24" s="180">
        <v>10</v>
      </c>
      <c r="G24" s="180">
        <v>20</v>
      </c>
      <c r="H24" s="180">
        <v>25</v>
      </c>
      <c r="I24" s="180">
        <f t="shared" ref="I24:I37" si="5">(C24*F24)+D24</f>
        <v>1107.57</v>
      </c>
      <c r="J24" s="181">
        <f t="shared" ref="J24:J37" si="6">(C24*G24)+D24</f>
        <v>765.53999999999985</v>
      </c>
      <c r="K24" s="181">
        <f t="shared" ref="K24:K37" si="7">(C24*H24)+D24</f>
        <v>594.52499999999986</v>
      </c>
      <c r="L24" s="181"/>
      <c r="O24"/>
      <c r="P24"/>
      <c r="Q24"/>
      <c r="R24"/>
      <c r="S24"/>
    </row>
    <row r="25" spans="1:19" x14ac:dyDescent="0.45">
      <c r="A25" s="180">
        <v>21</v>
      </c>
      <c r="B25" s="180">
        <f t="shared" si="3"/>
        <v>0.35</v>
      </c>
      <c r="C25" s="180">
        <v>-34.026000000000003</v>
      </c>
      <c r="D25" s="180">
        <v>1437.4</v>
      </c>
      <c r="E25" s="180" t="str">
        <f t="shared" si="4"/>
        <v>Epe=1437.4-34.026T</v>
      </c>
      <c r="F25" s="180">
        <v>10</v>
      </c>
      <c r="G25" s="180">
        <v>20</v>
      </c>
      <c r="H25" s="180">
        <v>25</v>
      </c>
      <c r="I25" s="180">
        <f t="shared" si="5"/>
        <v>1097.1400000000001</v>
      </c>
      <c r="J25" s="181">
        <f t="shared" si="6"/>
        <v>756.88</v>
      </c>
      <c r="K25" s="181">
        <f t="shared" si="7"/>
        <v>586.75</v>
      </c>
      <c r="L25" s="181"/>
      <c r="O25"/>
      <c r="P25"/>
      <c r="Q25"/>
      <c r="R25"/>
      <c r="S25"/>
    </row>
    <row r="26" spans="1:19" x14ac:dyDescent="0.45">
      <c r="A26" s="180">
        <v>22</v>
      </c>
      <c r="B26" s="180">
        <f t="shared" si="3"/>
        <v>0.36666666666666664</v>
      </c>
      <c r="C26" s="180">
        <v>-33.857999999999997</v>
      </c>
      <c r="D26" s="180">
        <v>1426</v>
      </c>
      <c r="E26" s="180" t="str">
        <f t="shared" si="4"/>
        <v>Epe=1426-33.858T</v>
      </c>
      <c r="F26" s="180">
        <v>10</v>
      </c>
      <c r="G26" s="180">
        <v>20</v>
      </c>
      <c r="H26" s="180">
        <v>25</v>
      </c>
      <c r="I26" s="180">
        <f t="shared" si="5"/>
        <v>1087.42</v>
      </c>
      <c r="J26" s="181">
        <f t="shared" si="6"/>
        <v>748.84</v>
      </c>
      <c r="K26" s="181">
        <f t="shared" si="7"/>
        <v>579.55000000000007</v>
      </c>
      <c r="L26" s="181"/>
      <c r="O26"/>
      <c r="P26"/>
      <c r="Q26"/>
      <c r="R26"/>
      <c r="S26"/>
    </row>
    <row r="27" spans="1:19" x14ac:dyDescent="0.45">
      <c r="A27" s="180">
        <v>23</v>
      </c>
      <c r="B27" s="180">
        <f t="shared" si="3"/>
        <v>0.38333333333333336</v>
      </c>
      <c r="C27" s="180">
        <v>-33.695999999999998</v>
      </c>
      <c r="D27" s="180">
        <v>1415.1</v>
      </c>
      <c r="E27" s="180" t="str">
        <f t="shared" si="4"/>
        <v>Epe=1415.1-33.696T</v>
      </c>
      <c r="F27" s="180">
        <v>10</v>
      </c>
      <c r="G27" s="180">
        <v>20</v>
      </c>
      <c r="H27" s="180">
        <v>25</v>
      </c>
      <c r="I27" s="180">
        <f t="shared" si="5"/>
        <v>1078.1399999999999</v>
      </c>
      <c r="J27" s="181">
        <f t="shared" si="6"/>
        <v>741.18</v>
      </c>
      <c r="K27" s="181">
        <f t="shared" si="7"/>
        <v>572.69999999999993</v>
      </c>
      <c r="L27" s="181"/>
      <c r="O27"/>
      <c r="P27"/>
      <c r="Q27"/>
      <c r="R27"/>
      <c r="S27"/>
    </row>
    <row r="28" spans="1:19" x14ac:dyDescent="0.45">
      <c r="A28" s="180">
        <v>24</v>
      </c>
      <c r="B28" s="180">
        <f t="shared" si="3"/>
        <v>0.4</v>
      </c>
      <c r="C28" s="180">
        <v>-33.542000000000002</v>
      </c>
      <c r="D28" s="180">
        <v>1404.8</v>
      </c>
      <c r="E28" s="180" t="str">
        <f t="shared" si="4"/>
        <v>Epe=1404.8-33.542T</v>
      </c>
      <c r="F28" s="180">
        <v>10</v>
      </c>
      <c r="G28" s="180">
        <v>20</v>
      </c>
      <c r="H28" s="180">
        <v>25</v>
      </c>
      <c r="I28" s="180">
        <f t="shared" si="5"/>
        <v>1069.3799999999999</v>
      </c>
      <c r="J28" s="181">
        <f t="shared" si="6"/>
        <v>733.95999999999992</v>
      </c>
      <c r="K28" s="181">
        <f t="shared" si="7"/>
        <v>566.24999999999989</v>
      </c>
      <c r="L28" s="181"/>
      <c r="O28"/>
      <c r="P28"/>
      <c r="Q28"/>
      <c r="R28"/>
      <c r="S28"/>
    </row>
    <row r="29" spans="1:19" x14ac:dyDescent="0.45">
      <c r="A29" s="180">
        <v>25</v>
      </c>
      <c r="B29" s="180">
        <f t="shared" si="3"/>
        <v>0.41666666666666669</v>
      </c>
      <c r="C29" s="180">
        <v>-33.393999999999998</v>
      </c>
      <c r="D29" s="180">
        <v>1394.9</v>
      </c>
      <c r="E29" s="180" t="str">
        <f t="shared" si="4"/>
        <v>Epe=1394.9-33.394T</v>
      </c>
      <c r="F29" s="180">
        <v>10</v>
      </c>
      <c r="G29" s="180">
        <v>20</v>
      </c>
      <c r="H29" s="180">
        <v>25</v>
      </c>
      <c r="I29" s="180">
        <f t="shared" si="5"/>
        <v>1060.96</v>
      </c>
      <c r="J29" s="181">
        <f t="shared" si="6"/>
        <v>727.0200000000001</v>
      </c>
      <c r="K29" s="181">
        <f t="shared" si="7"/>
        <v>560.05000000000018</v>
      </c>
      <c r="L29" s="181"/>
      <c r="O29"/>
      <c r="P29"/>
      <c r="Q29"/>
      <c r="R29"/>
      <c r="S29"/>
    </row>
    <row r="30" spans="1:19" x14ac:dyDescent="0.45">
      <c r="A30" s="180">
        <v>26</v>
      </c>
      <c r="B30" s="180">
        <f t="shared" si="3"/>
        <v>0.43333333333333335</v>
      </c>
      <c r="C30" s="180">
        <v>-33.250999999999998</v>
      </c>
      <c r="D30" s="180">
        <v>1385.5</v>
      </c>
      <c r="E30" s="180" t="str">
        <f t="shared" si="4"/>
        <v>Epe=1385.5-33.251T</v>
      </c>
      <c r="F30" s="180">
        <v>10</v>
      </c>
      <c r="G30" s="180">
        <v>20</v>
      </c>
      <c r="H30" s="180">
        <v>25</v>
      </c>
      <c r="I30" s="180">
        <f t="shared" si="5"/>
        <v>1052.99</v>
      </c>
      <c r="J30" s="181">
        <f t="shared" si="6"/>
        <v>720.48</v>
      </c>
      <c r="K30" s="181">
        <f t="shared" si="7"/>
        <v>554.22500000000002</v>
      </c>
      <c r="L30" s="181"/>
      <c r="O30"/>
      <c r="P30"/>
      <c r="Q30"/>
      <c r="R30"/>
      <c r="S30"/>
    </row>
    <row r="31" spans="1:19" x14ac:dyDescent="0.45">
      <c r="A31" s="180">
        <v>27</v>
      </c>
      <c r="B31" s="180">
        <f t="shared" si="3"/>
        <v>0.45</v>
      </c>
      <c r="C31" s="180">
        <v>-33.113999999999997</v>
      </c>
      <c r="D31" s="180">
        <v>1376.5</v>
      </c>
      <c r="E31" s="180" t="str">
        <f t="shared" si="4"/>
        <v>Epe=1376.5-33.114T</v>
      </c>
      <c r="F31" s="180">
        <v>10</v>
      </c>
      <c r="G31" s="180">
        <v>20</v>
      </c>
      <c r="H31" s="180">
        <v>25</v>
      </c>
      <c r="I31" s="180">
        <f t="shared" si="5"/>
        <v>1045.3600000000001</v>
      </c>
      <c r="J31" s="181">
        <f t="shared" si="6"/>
        <v>714.22</v>
      </c>
      <c r="K31" s="181">
        <f t="shared" si="7"/>
        <v>548.65000000000009</v>
      </c>
      <c r="L31" s="181"/>
      <c r="O31"/>
      <c r="P31"/>
      <c r="Q31"/>
      <c r="R31"/>
      <c r="S31"/>
    </row>
    <row r="32" spans="1:19" x14ac:dyDescent="0.45">
      <c r="A32" s="180">
        <v>28</v>
      </c>
      <c r="B32" s="180">
        <f t="shared" si="3"/>
        <v>0.46666666666666667</v>
      </c>
      <c r="C32" s="180">
        <v>-32.981999999999999</v>
      </c>
      <c r="D32" s="180">
        <v>1367.99</v>
      </c>
      <c r="E32" s="180" t="str">
        <f t="shared" si="4"/>
        <v>Epe=1367.99-32.982T</v>
      </c>
      <c r="F32" s="180">
        <v>10</v>
      </c>
      <c r="G32" s="180">
        <v>20</v>
      </c>
      <c r="H32" s="180">
        <v>25</v>
      </c>
      <c r="I32" s="180">
        <f t="shared" si="5"/>
        <v>1038.17</v>
      </c>
      <c r="J32" s="181">
        <f t="shared" si="6"/>
        <v>708.35</v>
      </c>
      <c r="K32" s="181">
        <f t="shared" si="7"/>
        <v>543.44000000000005</v>
      </c>
      <c r="L32" s="181"/>
      <c r="O32"/>
      <c r="P32"/>
      <c r="Q32"/>
      <c r="R32"/>
      <c r="S32"/>
    </row>
    <row r="33" spans="1:19" x14ac:dyDescent="0.45">
      <c r="A33" s="180">
        <v>29</v>
      </c>
      <c r="B33" s="180">
        <f t="shared" si="3"/>
        <v>0.48333333333333334</v>
      </c>
      <c r="C33" s="180">
        <v>-32.854999999999997</v>
      </c>
      <c r="D33" s="180">
        <v>1359.6</v>
      </c>
      <c r="E33" s="180" t="str">
        <f t="shared" si="4"/>
        <v>Epe=1359.6-32.855T</v>
      </c>
      <c r="F33" s="180">
        <v>10</v>
      </c>
      <c r="G33" s="180">
        <v>20</v>
      </c>
      <c r="H33" s="180">
        <v>25</v>
      </c>
      <c r="I33" s="180">
        <f t="shared" si="5"/>
        <v>1031.05</v>
      </c>
      <c r="J33" s="181">
        <f t="shared" si="6"/>
        <v>702.5</v>
      </c>
      <c r="K33" s="181">
        <f t="shared" si="7"/>
        <v>538.22500000000002</v>
      </c>
      <c r="L33" s="181"/>
      <c r="O33"/>
      <c r="P33"/>
      <c r="Q33"/>
      <c r="R33"/>
      <c r="S33"/>
    </row>
    <row r="34" spans="1:19" x14ac:dyDescent="0.45">
      <c r="A34" s="180">
        <v>30</v>
      </c>
      <c r="B34" s="180">
        <f t="shared" si="3"/>
        <v>0.5</v>
      </c>
      <c r="C34" s="180">
        <v>-32.731000000000002</v>
      </c>
      <c r="D34" s="180">
        <v>1351.7</v>
      </c>
      <c r="E34" s="180" t="str">
        <f t="shared" si="4"/>
        <v>Epe=1351.7-32.731T</v>
      </c>
      <c r="F34" s="180">
        <v>10</v>
      </c>
      <c r="G34" s="180">
        <v>20</v>
      </c>
      <c r="H34" s="180">
        <v>25</v>
      </c>
      <c r="I34" s="180">
        <f t="shared" si="5"/>
        <v>1024.3900000000001</v>
      </c>
      <c r="J34" s="181">
        <f t="shared" si="6"/>
        <v>697.08</v>
      </c>
      <c r="K34" s="181">
        <f t="shared" si="7"/>
        <v>533.42499999999995</v>
      </c>
      <c r="L34" s="181"/>
      <c r="O34"/>
      <c r="P34"/>
      <c r="Q34"/>
      <c r="R34"/>
      <c r="S34"/>
    </row>
    <row r="35" spans="1:19" x14ac:dyDescent="0.45">
      <c r="A35" s="180">
        <v>40</v>
      </c>
      <c r="B35" s="180">
        <f t="shared" si="3"/>
        <v>0.66666666666666663</v>
      </c>
      <c r="C35" s="180">
        <v>-31.687000000000001</v>
      </c>
      <c r="D35" s="180">
        <v>1286.0999999999999</v>
      </c>
      <c r="E35" s="180" t="str">
        <f t="shared" ref="E35:E37" si="8">"y="&amp;C35&amp;"x+"&amp;D35</f>
        <v>y=-31.687x+1286.1</v>
      </c>
      <c r="F35" s="180">
        <v>10</v>
      </c>
      <c r="G35" s="180">
        <v>20</v>
      </c>
      <c r="H35" s="180">
        <v>25</v>
      </c>
      <c r="I35" s="180">
        <f t="shared" si="5"/>
        <v>969.2299999999999</v>
      </c>
      <c r="J35" s="181">
        <f t="shared" si="6"/>
        <v>652.3599999999999</v>
      </c>
      <c r="K35" s="181">
        <f t="shared" si="7"/>
        <v>493.92499999999984</v>
      </c>
      <c r="L35" s="181"/>
      <c r="O35" s="182"/>
    </row>
    <row r="36" spans="1:19" x14ac:dyDescent="0.45">
      <c r="A36" s="180">
        <v>50</v>
      </c>
      <c r="B36" s="180">
        <f t="shared" si="3"/>
        <v>0.83333333333333337</v>
      </c>
      <c r="C36" s="180">
        <v>-30.879000000000001</v>
      </c>
      <c r="D36" s="180">
        <v>1237.2</v>
      </c>
      <c r="E36" s="180" t="str">
        <f t="shared" si="8"/>
        <v>y=-30.879x+1237.2</v>
      </c>
      <c r="F36" s="180">
        <v>10</v>
      </c>
      <c r="G36" s="180">
        <v>20</v>
      </c>
      <c r="H36" s="180">
        <v>25</v>
      </c>
      <c r="I36" s="180">
        <f t="shared" si="5"/>
        <v>928.41000000000008</v>
      </c>
      <c r="J36" s="181">
        <f t="shared" si="6"/>
        <v>619.62</v>
      </c>
      <c r="K36" s="181">
        <f t="shared" si="7"/>
        <v>465.22500000000002</v>
      </c>
      <c r="L36" s="181"/>
      <c r="O36" s="182"/>
    </row>
    <row r="37" spans="1:19" x14ac:dyDescent="0.45">
      <c r="A37" s="180">
        <v>60</v>
      </c>
      <c r="B37" s="180">
        <f t="shared" si="3"/>
        <v>1</v>
      </c>
      <c r="C37" s="180">
        <v>-30.222999999999999</v>
      </c>
      <c r="D37" s="180">
        <v>1198.5999999999999</v>
      </c>
      <c r="E37" s="180" t="str">
        <f t="shared" si="8"/>
        <v>y=-30.223x+1198.6</v>
      </c>
      <c r="F37" s="180">
        <v>10</v>
      </c>
      <c r="G37" s="180">
        <v>20</v>
      </c>
      <c r="H37" s="180">
        <v>25</v>
      </c>
      <c r="I37" s="180">
        <f t="shared" si="5"/>
        <v>896.36999999999989</v>
      </c>
      <c r="J37" s="181">
        <f t="shared" si="6"/>
        <v>594.13999999999987</v>
      </c>
      <c r="K37" s="181">
        <f t="shared" si="7"/>
        <v>443.02499999999998</v>
      </c>
      <c r="L37" s="181"/>
      <c r="O37" s="182"/>
    </row>
    <row r="39" spans="1:19" x14ac:dyDescent="0.45">
      <c r="A39" s="179" t="s">
        <v>16</v>
      </c>
    </row>
    <row r="40" spans="1:19" x14ac:dyDescent="0.45">
      <c r="A40" s="180" t="s">
        <v>97</v>
      </c>
    </row>
    <row r="41" spans="1:19" x14ac:dyDescent="0.45">
      <c r="B41" s="180" t="s">
        <v>98</v>
      </c>
      <c r="C41" s="180" t="s">
        <v>99</v>
      </c>
      <c r="D41" s="179" t="s">
        <v>100</v>
      </c>
    </row>
    <row r="42" spans="1:19" x14ac:dyDescent="0.45">
      <c r="B42" s="181">
        <f>INDEX(A5:D37,MATCH(PressurisationAuto!C3,A5:A37,0),3)</f>
        <v>-35.24</v>
      </c>
      <c r="C42" s="181">
        <f>INDEX(A5:D37,MATCH(PressurisationAuto!C3,A5:A37,0),4)</f>
        <v>1523</v>
      </c>
      <c r="D42" s="179">
        <f>B42*(PressurisationAuto!C2)+C42</f>
        <v>1170.5999999999999</v>
      </c>
      <c r="E42" s="186" t="s">
        <v>121</v>
      </c>
    </row>
    <row r="46" spans="1:19" x14ac:dyDescent="0.45">
      <c r="D46" s="180" t="s">
        <v>106</v>
      </c>
    </row>
    <row r="47" spans="1:19" x14ac:dyDescent="0.45">
      <c r="D47" s="180">
        <f>EXP(6.812376+0.016575*PressurisationAuto!C2-0.0018419*PressurisationAuto!C2^2) *(PressurisationAuto!C3/60)^(-(0.192-0.002*PressurisationAuto!C2+0.0002*PressurisationAuto!C2^2))</f>
        <v>1164.5668768386547</v>
      </c>
      <c r="E47" s="180" t="s">
        <v>107</v>
      </c>
    </row>
  </sheetData>
  <mergeCells count="1">
    <mergeCell ref="F2:K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6B39C-2201-4A0A-A66A-4D23AB69F551}">
  <dimension ref="A2:L42"/>
  <sheetViews>
    <sheetView zoomScale="85" zoomScaleNormal="85" workbookViewId="0">
      <selection activeCell="E9" sqref="E9"/>
    </sheetView>
  </sheetViews>
  <sheetFormatPr defaultColWidth="8.86328125" defaultRowHeight="14.25" x14ac:dyDescent="0.45"/>
  <cols>
    <col min="1" max="4" width="8.86328125" style="180"/>
    <col min="5" max="5" width="19.73046875" style="180" customWidth="1"/>
    <col min="6" max="6" width="8.3984375" style="180" customWidth="1"/>
    <col min="7" max="7" width="7.73046875" style="180" customWidth="1"/>
    <col min="8" max="8" width="7.265625" style="180" customWidth="1"/>
    <col min="9" max="9" width="9.73046875" style="180" customWidth="1"/>
    <col min="10" max="10" width="11.265625" style="180" customWidth="1"/>
    <col min="11" max="12" width="7.1328125" style="180" customWidth="1"/>
    <col min="13" max="13" width="7.73046875" style="180" customWidth="1"/>
    <col min="14" max="16384" width="8.86328125" style="180"/>
  </cols>
  <sheetData>
    <row r="2" spans="1:12" x14ac:dyDescent="0.45">
      <c r="F2" s="202" t="s">
        <v>102</v>
      </c>
      <c r="G2" s="202"/>
      <c r="H2" s="202"/>
      <c r="I2" s="202"/>
      <c r="J2" s="202"/>
      <c r="K2" s="202"/>
    </row>
    <row r="3" spans="1:12" x14ac:dyDescent="0.45">
      <c r="A3" s="179"/>
      <c r="B3" s="179"/>
      <c r="C3" s="179" t="s">
        <v>31</v>
      </c>
      <c r="D3" s="179"/>
      <c r="E3" s="179"/>
      <c r="F3" s="179"/>
      <c r="G3" s="179"/>
      <c r="H3" s="179"/>
      <c r="I3" s="179" t="s">
        <v>91</v>
      </c>
      <c r="J3" s="179"/>
      <c r="K3" s="179"/>
      <c r="L3" s="179"/>
    </row>
    <row r="4" spans="1:12" ht="28.5" x14ac:dyDescent="0.45">
      <c r="A4" s="179" t="s">
        <v>92</v>
      </c>
      <c r="B4" s="179" t="s">
        <v>93</v>
      </c>
      <c r="C4" s="179"/>
      <c r="D4" s="179"/>
      <c r="E4" s="183" t="s">
        <v>103</v>
      </c>
      <c r="F4" s="179"/>
      <c r="G4" s="179"/>
      <c r="H4" s="179"/>
      <c r="I4" s="179" t="s">
        <v>94</v>
      </c>
      <c r="J4" s="179" t="s">
        <v>95</v>
      </c>
      <c r="K4" s="179" t="s">
        <v>96</v>
      </c>
      <c r="L4" s="179"/>
    </row>
    <row r="5" spans="1:12" x14ac:dyDescent="0.45">
      <c r="A5" s="180">
        <v>1</v>
      </c>
      <c r="B5" s="180">
        <f>A5/60</f>
        <v>1.6666666666666666E-2</v>
      </c>
      <c r="C5" s="180">
        <v>-32.591000000000001</v>
      </c>
      <c r="D5" s="180">
        <v>1631.2</v>
      </c>
      <c r="E5" s="180" t="str">
        <f>"Epe="&amp;D5&amp;C5&amp;"T"</f>
        <v>Epe=1631.2-32.591T</v>
      </c>
      <c r="F5" s="180">
        <v>10</v>
      </c>
      <c r="G5" s="180">
        <v>20</v>
      </c>
      <c r="H5" s="180">
        <v>25</v>
      </c>
      <c r="I5" s="181">
        <f t="shared" ref="I5:I19" si="0">(C5*F5)+D5</f>
        <v>1305.29</v>
      </c>
      <c r="J5" s="181">
        <f t="shared" ref="J5:J19" si="1">(C5*G5)+D5</f>
        <v>979.38</v>
      </c>
      <c r="K5" s="181">
        <f t="shared" ref="K5:K19" si="2">(C5*H5)+D5</f>
        <v>816.42500000000007</v>
      </c>
      <c r="L5" s="181"/>
    </row>
    <row r="6" spans="1:12" x14ac:dyDescent="0.45">
      <c r="A6" s="180">
        <v>2</v>
      </c>
      <c r="B6" s="180">
        <f t="shared" ref="B6:B37" si="3">A6/60</f>
        <v>3.3333333333333333E-2</v>
      </c>
      <c r="C6" s="180">
        <v>-29.843</v>
      </c>
      <c r="D6" s="180">
        <v>1441.2</v>
      </c>
      <c r="E6" s="180" t="str">
        <f t="shared" ref="E6:E37" si="4">"Epe="&amp;D6&amp;C6&amp;"T"</f>
        <v>Epe=1441.2-29.843T</v>
      </c>
      <c r="F6" s="180">
        <v>10</v>
      </c>
      <c r="G6" s="180">
        <v>20</v>
      </c>
      <c r="H6" s="180">
        <v>25</v>
      </c>
      <c r="I6" s="180">
        <f t="shared" si="0"/>
        <v>1142.77</v>
      </c>
      <c r="J6" s="181">
        <f t="shared" si="1"/>
        <v>844.34</v>
      </c>
      <c r="K6" s="181">
        <f t="shared" si="2"/>
        <v>695.125</v>
      </c>
      <c r="L6" s="181"/>
    </row>
    <row r="7" spans="1:12" x14ac:dyDescent="0.45">
      <c r="A7" s="180">
        <v>3</v>
      </c>
      <c r="B7" s="180">
        <f t="shared" si="3"/>
        <v>0.05</v>
      </c>
      <c r="C7" s="180">
        <f>-28.29</f>
        <v>-28.29</v>
      </c>
      <c r="D7" s="180">
        <v>1340</v>
      </c>
      <c r="E7" s="180" t="str">
        <f t="shared" si="4"/>
        <v>Epe=1340-28.29T</v>
      </c>
      <c r="F7" s="180">
        <v>10</v>
      </c>
      <c r="G7" s="180">
        <v>20</v>
      </c>
      <c r="H7" s="180">
        <v>25</v>
      </c>
      <c r="I7" s="180">
        <f t="shared" si="0"/>
        <v>1057.0999999999999</v>
      </c>
      <c r="J7" s="181">
        <f t="shared" si="1"/>
        <v>774.2</v>
      </c>
      <c r="K7" s="181">
        <f t="shared" si="2"/>
        <v>632.75</v>
      </c>
      <c r="L7" s="181"/>
    </row>
    <row r="8" spans="1:12" x14ac:dyDescent="0.45">
      <c r="A8" s="180">
        <v>4</v>
      </c>
      <c r="B8" s="180">
        <f t="shared" si="3"/>
        <v>6.6666666666666666E-2</v>
      </c>
      <c r="C8" s="180">
        <v>-27.16</v>
      </c>
      <c r="D8" s="180">
        <v>1272.3</v>
      </c>
      <c r="E8" s="180" t="str">
        <f t="shared" si="4"/>
        <v>Epe=1272.3-27.16T</v>
      </c>
      <c r="F8" s="180">
        <v>10</v>
      </c>
      <c r="G8" s="180">
        <v>20</v>
      </c>
      <c r="H8" s="180">
        <v>25</v>
      </c>
      <c r="I8" s="180">
        <f t="shared" si="0"/>
        <v>1000.6999999999999</v>
      </c>
      <c r="J8" s="181">
        <f t="shared" si="1"/>
        <v>729.09999999999991</v>
      </c>
      <c r="K8" s="181">
        <f t="shared" si="2"/>
        <v>593.29999999999995</v>
      </c>
      <c r="L8" s="181"/>
    </row>
    <row r="9" spans="1:12" x14ac:dyDescent="0.45">
      <c r="A9" s="180">
        <v>5</v>
      </c>
      <c r="B9" s="180">
        <f t="shared" si="3"/>
        <v>8.3333333333333329E-2</v>
      </c>
      <c r="C9" s="180">
        <v>-26.399000000000001</v>
      </c>
      <c r="D9" s="180">
        <v>1222</v>
      </c>
      <c r="E9" s="180" t="str">
        <f t="shared" si="4"/>
        <v>Epe=1222-26.399T</v>
      </c>
      <c r="F9" s="180">
        <v>10</v>
      </c>
      <c r="G9" s="180">
        <v>20</v>
      </c>
      <c r="H9" s="180">
        <v>25</v>
      </c>
      <c r="I9" s="180">
        <f t="shared" si="0"/>
        <v>958.01</v>
      </c>
      <c r="J9" s="181">
        <f t="shared" si="1"/>
        <v>694.02</v>
      </c>
      <c r="K9" s="181">
        <f t="shared" si="2"/>
        <v>562.02499999999998</v>
      </c>
      <c r="L9" s="181"/>
    </row>
    <row r="10" spans="1:12" x14ac:dyDescent="0.45">
      <c r="A10" s="180">
        <v>6</v>
      </c>
      <c r="B10" s="180">
        <f t="shared" si="3"/>
        <v>0.1</v>
      </c>
      <c r="C10" s="180">
        <v>-25.742999999999999</v>
      </c>
      <c r="D10" s="180">
        <v>1182.3</v>
      </c>
      <c r="E10" s="180" t="str">
        <f t="shared" si="4"/>
        <v>Epe=1182.3-25.743T</v>
      </c>
      <c r="F10" s="180">
        <v>10</v>
      </c>
      <c r="G10" s="180">
        <v>20</v>
      </c>
      <c r="H10" s="180">
        <v>25</v>
      </c>
      <c r="I10" s="180">
        <f t="shared" si="0"/>
        <v>924.86999999999989</v>
      </c>
      <c r="J10" s="181">
        <f t="shared" si="1"/>
        <v>667.43999999999994</v>
      </c>
      <c r="K10" s="181">
        <f t="shared" si="2"/>
        <v>538.72500000000002</v>
      </c>
      <c r="L10" s="181"/>
    </row>
    <row r="11" spans="1:12" x14ac:dyDescent="0.45">
      <c r="A11" s="180">
        <v>7</v>
      </c>
      <c r="B11" s="180">
        <f t="shared" si="3"/>
        <v>0.11666666666666667</v>
      </c>
      <c r="C11" s="180">
        <v>-25.196000000000002</v>
      </c>
      <c r="D11" s="180">
        <v>1149.7</v>
      </c>
      <c r="E11" s="180" t="str">
        <f t="shared" si="4"/>
        <v>Epe=1149.7-25.196T</v>
      </c>
      <c r="F11" s="180">
        <v>10</v>
      </c>
      <c r="G11" s="180">
        <v>20</v>
      </c>
      <c r="H11" s="180">
        <v>25</v>
      </c>
      <c r="I11" s="180">
        <f t="shared" si="0"/>
        <v>897.74</v>
      </c>
      <c r="J11" s="181">
        <f t="shared" si="1"/>
        <v>645.78</v>
      </c>
      <c r="K11" s="181">
        <f t="shared" si="2"/>
        <v>519.79999999999995</v>
      </c>
      <c r="L11" s="181"/>
    </row>
    <row r="12" spans="1:12" x14ac:dyDescent="0.45">
      <c r="A12" s="180">
        <v>8</v>
      </c>
      <c r="B12" s="180">
        <f t="shared" si="3"/>
        <v>0.13333333333333333</v>
      </c>
      <c r="C12" s="180">
        <v>-24.728999999999999</v>
      </c>
      <c r="D12" s="180">
        <v>1122.22</v>
      </c>
      <c r="E12" s="180" t="str">
        <f t="shared" si="4"/>
        <v>Epe=1122.22-24.729T</v>
      </c>
      <c r="F12" s="180">
        <v>10</v>
      </c>
      <c r="G12" s="180">
        <v>20</v>
      </c>
      <c r="H12" s="180">
        <v>25</v>
      </c>
      <c r="I12" s="180">
        <f t="shared" si="0"/>
        <v>874.93000000000006</v>
      </c>
      <c r="J12" s="181">
        <f t="shared" si="1"/>
        <v>627.6400000000001</v>
      </c>
      <c r="K12" s="181">
        <f t="shared" si="2"/>
        <v>503.995</v>
      </c>
      <c r="L12" s="181"/>
    </row>
    <row r="13" spans="1:12" x14ac:dyDescent="0.45">
      <c r="A13" s="180">
        <v>9</v>
      </c>
      <c r="B13" s="180">
        <f t="shared" si="3"/>
        <v>0.15</v>
      </c>
      <c r="C13" s="180">
        <v>-24.321999999999999</v>
      </c>
      <c r="D13" s="180">
        <v>1098.4000000000001</v>
      </c>
      <c r="E13" s="180" t="str">
        <f t="shared" si="4"/>
        <v>Epe=1098.4-24.322T</v>
      </c>
      <c r="F13" s="180">
        <v>10</v>
      </c>
      <c r="G13" s="180">
        <v>20</v>
      </c>
      <c r="H13" s="180">
        <v>25</v>
      </c>
      <c r="I13" s="180">
        <f t="shared" si="0"/>
        <v>855.18000000000006</v>
      </c>
      <c r="J13" s="181">
        <f t="shared" si="1"/>
        <v>611.96</v>
      </c>
      <c r="K13" s="181">
        <f t="shared" si="2"/>
        <v>490.35000000000014</v>
      </c>
      <c r="L13" s="181"/>
    </row>
    <row r="14" spans="1:12" x14ac:dyDescent="0.45">
      <c r="A14" s="180">
        <v>10</v>
      </c>
      <c r="B14" s="180">
        <f t="shared" si="3"/>
        <v>0.16666666666666666</v>
      </c>
      <c r="C14" s="180">
        <v>-23.960999999999999</v>
      </c>
      <c r="D14" s="180">
        <v>1077.5999999999999</v>
      </c>
      <c r="E14" s="180" t="str">
        <f t="shared" si="4"/>
        <v>Epe=1077.6-23.961T</v>
      </c>
      <c r="F14" s="180">
        <v>10</v>
      </c>
      <c r="G14" s="180">
        <v>20</v>
      </c>
      <c r="H14" s="180">
        <v>25</v>
      </c>
      <c r="I14" s="180">
        <f t="shared" si="0"/>
        <v>837.9899999999999</v>
      </c>
      <c r="J14" s="181">
        <f t="shared" si="1"/>
        <v>598.37999999999988</v>
      </c>
      <c r="K14" s="181">
        <f t="shared" si="2"/>
        <v>478.57499999999993</v>
      </c>
      <c r="L14" s="181"/>
    </row>
    <row r="15" spans="1:12" x14ac:dyDescent="0.45">
      <c r="A15" s="180">
        <v>11</v>
      </c>
      <c r="B15" s="180">
        <f t="shared" si="3"/>
        <v>0.18333333333333332</v>
      </c>
      <c r="C15" s="180">
        <v>-23.638000000000002</v>
      </c>
      <c r="D15" s="180">
        <v>1059</v>
      </c>
      <c r="E15" s="180" t="str">
        <f t="shared" si="4"/>
        <v>Epe=1059-23.638T</v>
      </c>
      <c r="F15" s="180">
        <v>10</v>
      </c>
      <c r="G15" s="180">
        <v>20</v>
      </c>
      <c r="H15" s="180">
        <v>25</v>
      </c>
      <c r="I15" s="180">
        <f t="shared" si="0"/>
        <v>822.62</v>
      </c>
      <c r="J15" s="181">
        <f t="shared" si="1"/>
        <v>586.24</v>
      </c>
      <c r="K15" s="181">
        <f t="shared" si="2"/>
        <v>468.04999999999995</v>
      </c>
      <c r="L15" s="181"/>
    </row>
    <row r="16" spans="1:12" x14ac:dyDescent="0.45">
      <c r="A16" s="180">
        <v>12</v>
      </c>
      <c r="B16" s="180">
        <f t="shared" si="3"/>
        <v>0.2</v>
      </c>
      <c r="C16" s="180">
        <v>-23.346</v>
      </c>
      <c r="D16" s="180">
        <v>1042.4000000000001</v>
      </c>
      <c r="E16" s="180" t="str">
        <f t="shared" si="4"/>
        <v>Epe=1042.4-23.346T</v>
      </c>
      <c r="F16" s="180">
        <v>10</v>
      </c>
      <c r="G16" s="180">
        <v>20</v>
      </c>
      <c r="H16" s="180">
        <v>25</v>
      </c>
      <c r="I16" s="180">
        <f t="shared" si="0"/>
        <v>808.94</v>
      </c>
      <c r="J16" s="181">
        <f t="shared" si="1"/>
        <v>575.48</v>
      </c>
      <c r="K16" s="181">
        <f t="shared" si="2"/>
        <v>458.75000000000011</v>
      </c>
      <c r="L16" s="181"/>
    </row>
    <row r="17" spans="1:12" x14ac:dyDescent="0.45">
      <c r="A17" s="180">
        <v>13</v>
      </c>
      <c r="B17" s="180">
        <f t="shared" si="3"/>
        <v>0.21666666666666667</v>
      </c>
      <c r="C17" s="180">
        <v>-23.079000000000001</v>
      </c>
      <c r="D17" s="180">
        <v>1027.3</v>
      </c>
      <c r="E17" s="180" t="str">
        <f t="shared" si="4"/>
        <v>Epe=1027.3-23.079T</v>
      </c>
      <c r="F17" s="180">
        <v>10</v>
      </c>
      <c r="G17" s="180">
        <v>20</v>
      </c>
      <c r="H17" s="180">
        <v>25</v>
      </c>
      <c r="I17" s="180">
        <f t="shared" si="0"/>
        <v>796.51</v>
      </c>
      <c r="J17" s="181">
        <f t="shared" si="1"/>
        <v>565.71999999999991</v>
      </c>
      <c r="K17" s="181">
        <f t="shared" si="2"/>
        <v>450.32499999999993</v>
      </c>
      <c r="L17" s="181"/>
    </row>
    <row r="18" spans="1:12" x14ac:dyDescent="0.45">
      <c r="A18" s="180">
        <v>14</v>
      </c>
      <c r="B18" s="180">
        <f t="shared" si="3"/>
        <v>0.23333333333333334</v>
      </c>
      <c r="C18" s="180">
        <v>-22.834</v>
      </c>
      <c r="D18" s="180">
        <v>1013.5</v>
      </c>
      <c r="E18" s="180" t="str">
        <f t="shared" si="4"/>
        <v>Epe=1013.5-22.834T</v>
      </c>
      <c r="F18" s="180">
        <v>10</v>
      </c>
      <c r="G18" s="180">
        <v>20</v>
      </c>
      <c r="H18" s="180">
        <v>25</v>
      </c>
      <c r="I18" s="180">
        <f t="shared" si="0"/>
        <v>785.16</v>
      </c>
      <c r="J18" s="181">
        <f t="shared" si="1"/>
        <v>556.81999999999994</v>
      </c>
      <c r="K18" s="181">
        <f t="shared" si="2"/>
        <v>442.65</v>
      </c>
      <c r="L18" s="181"/>
    </row>
    <row r="19" spans="1:12" x14ac:dyDescent="0.45">
      <c r="A19" s="180">
        <v>15</v>
      </c>
      <c r="B19" s="180">
        <f t="shared" si="3"/>
        <v>0.25</v>
      </c>
      <c r="C19" s="180">
        <v>-22.608000000000001</v>
      </c>
      <c r="D19" s="180">
        <v>1000.8</v>
      </c>
      <c r="E19" s="180" t="str">
        <f t="shared" si="4"/>
        <v>Epe=1000.8-22.608T</v>
      </c>
      <c r="F19" s="180">
        <v>10</v>
      </c>
      <c r="G19" s="180">
        <v>20</v>
      </c>
      <c r="H19" s="180">
        <v>25</v>
      </c>
      <c r="I19" s="180">
        <f t="shared" si="0"/>
        <v>774.71999999999991</v>
      </c>
      <c r="J19" s="181">
        <f t="shared" si="1"/>
        <v>548.63999999999987</v>
      </c>
      <c r="K19" s="181">
        <f t="shared" si="2"/>
        <v>435.59999999999991</v>
      </c>
      <c r="L19" s="181"/>
    </row>
    <row r="20" spans="1:12" x14ac:dyDescent="0.45">
      <c r="A20" s="180">
        <v>16</v>
      </c>
      <c r="B20" s="180">
        <f t="shared" si="3"/>
        <v>0.26666666666666666</v>
      </c>
      <c r="C20" s="180">
        <v>-22.398</v>
      </c>
      <c r="D20" s="180">
        <v>989.04</v>
      </c>
      <c r="E20" s="180" t="str">
        <f t="shared" si="4"/>
        <v>Epe=989.04-22.398T</v>
      </c>
      <c r="F20" s="180">
        <v>10</v>
      </c>
      <c r="G20" s="180">
        <v>20</v>
      </c>
      <c r="H20" s="180">
        <v>25</v>
      </c>
      <c r="I20" s="180">
        <f t="shared" ref="I20:I37" si="5">(C20*F20)+D20</f>
        <v>765.06</v>
      </c>
      <c r="J20" s="181">
        <f t="shared" ref="J20:J37" si="6">(C20*G20)+D20</f>
        <v>541.07999999999993</v>
      </c>
      <c r="K20" s="181">
        <f t="shared" ref="K20:K37" si="7">(C20*H20)+D20</f>
        <v>429.08999999999992</v>
      </c>
      <c r="L20" s="181"/>
    </row>
    <row r="21" spans="1:12" x14ac:dyDescent="0.45">
      <c r="A21" s="180">
        <v>17</v>
      </c>
      <c r="B21" s="180">
        <f t="shared" si="3"/>
        <v>0.28333333333333333</v>
      </c>
      <c r="C21" s="180">
        <v>-22.201000000000001</v>
      </c>
      <c r="D21" s="180">
        <v>978.14</v>
      </c>
      <c r="E21" s="180" t="str">
        <f t="shared" si="4"/>
        <v>Epe=978.14-22.201T</v>
      </c>
      <c r="F21" s="180">
        <v>10</v>
      </c>
      <c r="G21" s="180">
        <v>20</v>
      </c>
      <c r="H21" s="180">
        <v>25</v>
      </c>
      <c r="I21" s="180">
        <f t="shared" si="5"/>
        <v>756.13</v>
      </c>
      <c r="J21" s="181">
        <f t="shared" si="6"/>
        <v>534.12</v>
      </c>
      <c r="K21" s="181">
        <f t="shared" si="7"/>
        <v>423.11500000000001</v>
      </c>
      <c r="L21" s="181"/>
    </row>
    <row r="22" spans="1:12" x14ac:dyDescent="0.45">
      <c r="A22" s="180">
        <v>18</v>
      </c>
      <c r="B22" s="180">
        <f t="shared" si="3"/>
        <v>0.3</v>
      </c>
      <c r="C22" s="180">
        <v>-22.016999999999999</v>
      </c>
      <c r="D22" s="180">
        <v>967.97</v>
      </c>
      <c r="E22" s="180" t="str">
        <f t="shared" si="4"/>
        <v>Epe=967.97-22.017T</v>
      </c>
      <c r="F22" s="180">
        <v>10</v>
      </c>
      <c r="G22" s="180">
        <v>20</v>
      </c>
      <c r="H22" s="180">
        <v>25</v>
      </c>
      <c r="I22" s="180">
        <f t="shared" si="5"/>
        <v>747.80000000000007</v>
      </c>
      <c r="J22" s="181">
        <f t="shared" si="6"/>
        <v>527.63000000000011</v>
      </c>
      <c r="K22" s="181">
        <f t="shared" si="7"/>
        <v>417.54500000000007</v>
      </c>
      <c r="L22" s="181"/>
    </row>
    <row r="23" spans="1:12" x14ac:dyDescent="0.45">
      <c r="A23" s="180">
        <v>19</v>
      </c>
      <c r="B23" s="180">
        <f t="shared" si="3"/>
        <v>0.31666666666666665</v>
      </c>
      <c r="C23" s="180">
        <v>-21.844000000000001</v>
      </c>
      <c r="D23" s="180">
        <v>958.44</v>
      </c>
      <c r="E23" s="180" t="str">
        <f t="shared" si="4"/>
        <v>Epe=958.44-21.844T</v>
      </c>
      <c r="F23" s="180">
        <v>10</v>
      </c>
      <c r="G23" s="180">
        <v>20</v>
      </c>
      <c r="H23" s="180">
        <v>25</v>
      </c>
      <c r="I23" s="180">
        <f t="shared" si="5"/>
        <v>740</v>
      </c>
      <c r="J23" s="181">
        <f t="shared" si="6"/>
        <v>521.56000000000006</v>
      </c>
      <c r="K23" s="181">
        <f t="shared" si="7"/>
        <v>412.34000000000003</v>
      </c>
      <c r="L23" s="181"/>
    </row>
    <row r="24" spans="1:12" x14ac:dyDescent="0.45">
      <c r="A24" s="180">
        <v>20</v>
      </c>
      <c r="B24" s="180">
        <f t="shared" si="3"/>
        <v>0.33333333333333331</v>
      </c>
      <c r="C24" s="180">
        <v>-21.681000000000001</v>
      </c>
      <c r="D24" s="180">
        <v>949.8</v>
      </c>
      <c r="E24" s="180" t="str">
        <f t="shared" si="4"/>
        <v>Epe=949.8-21.681T</v>
      </c>
      <c r="F24" s="180">
        <v>10</v>
      </c>
      <c r="G24" s="180">
        <v>20</v>
      </c>
      <c r="H24" s="180">
        <v>25</v>
      </c>
      <c r="I24" s="180">
        <f t="shared" si="5"/>
        <v>732.99</v>
      </c>
      <c r="J24" s="181">
        <f t="shared" si="6"/>
        <v>516.17999999999995</v>
      </c>
      <c r="K24" s="181">
        <f t="shared" si="7"/>
        <v>407.77499999999998</v>
      </c>
      <c r="L24" s="181"/>
    </row>
    <row r="25" spans="1:12" x14ac:dyDescent="0.45">
      <c r="A25" s="180">
        <v>21</v>
      </c>
      <c r="B25" s="180">
        <f t="shared" si="3"/>
        <v>0.35</v>
      </c>
      <c r="C25" s="180">
        <v>-21.527000000000001</v>
      </c>
      <c r="D25" s="180">
        <v>941.03</v>
      </c>
      <c r="E25" s="180" t="str">
        <f t="shared" si="4"/>
        <v>Epe=941.03-21.527T</v>
      </c>
      <c r="F25" s="180">
        <v>10</v>
      </c>
      <c r="G25" s="180">
        <v>20</v>
      </c>
      <c r="H25" s="180">
        <v>25</v>
      </c>
      <c r="I25" s="180">
        <f t="shared" si="5"/>
        <v>725.76</v>
      </c>
      <c r="J25" s="181">
        <f t="shared" si="6"/>
        <v>510.48999999999995</v>
      </c>
      <c r="K25" s="181">
        <f t="shared" si="7"/>
        <v>402.8549999999999</v>
      </c>
      <c r="L25" s="181"/>
    </row>
    <row r="26" spans="1:12" x14ac:dyDescent="0.45">
      <c r="A26" s="180">
        <v>22</v>
      </c>
      <c r="B26" s="180">
        <f t="shared" si="3"/>
        <v>0.36666666666666664</v>
      </c>
      <c r="C26" s="180">
        <v>-21.38</v>
      </c>
      <c r="D26" s="180">
        <v>933.05</v>
      </c>
      <c r="E26" s="180" t="str">
        <f t="shared" si="4"/>
        <v>Epe=933.05-21.38T</v>
      </c>
      <c r="F26" s="180">
        <v>10</v>
      </c>
      <c r="G26" s="180">
        <v>20</v>
      </c>
      <c r="H26" s="180">
        <v>25</v>
      </c>
      <c r="I26" s="180">
        <f t="shared" si="5"/>
        <v>719.25</v>
      </c>
      <c r="J26" s="181">
        <f t="shared" si="6"/>
        <v>505.45</v>
      </c>
      <c r="K26" s="181">
        <f t="shared" si="7"/>
        <v>398.54999999999995</v>
      </c>
      <c r="L26" s="181"/>
    </row>
    <row r="27" spans="1:12" x14ac:dyDescent="0.45">
      <c r="A27" s="180">
        <v>23</v>
      </c>
      <c r="B27" s="180">
        <f t="shared" si="3"/>
        <v>0.38333333333333336</v>
      </c>
      <c r="C27" s="180">
        <v>-21.241</v>
      </c>
      <c r="D27" s="180">
        <v>925.48</v>
      </c>
      <c r="E27" s="180" t="str">
        <f t="shared" si="4"/>
        <v>Epe=925.48-21.241T</v>
      </c>
      <c r="F27" s="180">
        <v>10</v>
      </c>
      <c r="G27" s="180">
        <v>20</v>
      </c>
      <c r="H27" s="180">
        <v>25</v>
      </c>
      <c r="I27" s="180">
        <f t="shared" si="5"/>
        <v>713.07</v>
      </c>
      <c r="J27" s="181">
        <f t="shared" si="6"/>
        <v>500.66</v>
      </c>
      <c r="K27" s="181">
        <f t="shared" si="7"/>
        <v>394.45500000000004</v>
      </c>
      <c r="L27" s="181"/>
    </row>
    <row r="28" spans="1:12" x14ac:dyDescent="0.45">
      <c r="A28" s="180">
        <v>24</v>
      </c>
      <c r="B28" s="180">
        <f t="shared" si="3"/>
        <v>0.4</v>
      </c>
      <c r="C28" s="180">
        <v>-21.108000000000001</v>
      </c>
      <c r="D28" s="180">
        <v>918.28</v>
      </c>
      <c r="E28" s="180" t="str">
        <f t="shared" si="4"/>
        <v>Epe=918.28-21.108T</v>
      </c>
      <c r="F28" s="180">
        <v>10</v>
      </c>
      <c r="G28" s="180">
        <v>20</v>
      </c>
      <c r="H28" s="180">
        <v>25</v>
      </c>
      <c r="I28" s="180">
        <f t="shared" si="5"/>
        <v>707.19999999999993</v>
      </c>
      <c r="J28" s="181">
        <f t="shared" si="6"/>
        <v>496.11999999999995</v>
      </c>
      <c r="K28" s="181">
        <f t="shared" si="7"/>
        <v>390.57999999999993</v>
      </c>
      <c r="L28" s="181"/>
    </row>
    <row r="29" spans="1:12" x14ac:dyDescent="0.45">
      <c r="A29" s="180">
        <v>25</v>
      </c>
      <c r="B29" s="180">
        <f t="shared" si="3"/>
        <v>0.41666666666666669</v>
      </c>
      <c r="C29" s="180">
        <v>-20.981000000000002</v>
      </c>
      <c r="D29" s="180">
        <v>911.43</v>
      </c>
      <c r="E29" s="180" t="str">
        <f t="shared" si="4"/>
        <v>Epe=911.43-20.981T</v>
      </c>
      <c r="F29" s="180">
        <v>10</v>
      </c>
      <c r="G29" s="180">
        <v>20</v>
      </c>
      <c r="H29" s="180">
        <v>25</v>
      </c>
      <c r="I29" s="180">
        <f t="shared" si="5"/>
        <v>701.61999999999989</v>
      </c>
      <c r="J29" s="181">
        <f t="shared" si="6"/>
        <v>491.80999999999995</v>
      </c>
      <c r="K29" s="181">
        <f t="shared" si="7"/>
        <v>386.90499999999986</v>
      </c>
      <c r="L29" s="181"/>
    </row>
    <row r="30" spans="1:12" x14ac:dyDescent="0.45">
      <c r="A30" s="180">
        <v>26</v>
      </c>
      <c r="B30" s="180">
        <f t="shared" si="3"/>
        <v>0.43333333333333335</v>
      </c>
      <c r="C30" s="180">
        <v>-20.86</v>
      </c>
      <c r="D30" s="180">
        <v>904.9</v>
      </c>
      <c r="E30" s="180" t="str">
        <f t="shared" si="4"/>
        <v>Epe=904.9-20.86T</v>
      </c>
      <c r="F30" s="180">
        <v>10</v>
      </c>
      <c r="G30" s="180">
        <v>20</v>
      </c>
      <c r="H30" s="180">
        <v>25</v>
      </c>
      <c r="I30" s="180">
        <f t="shared" si="5"/>
        <v>696.3</v>
      </c>
      <c r="J30" s="181">
        <f t="shared" si="6"/>
        <v>487.7</v>
      </c>
      <c r="K30" s="181">
        <f t="shared" si="7"/>
        <v>383.4</v>
      </c>
      <c r="L30" s="181"/>
    </row>
    <row r="31" spans="1:12" x14ac:dyDescent="0.45">
      <c r="A31" s="180">
        <v>27</v>
      </c>
      <c r="B31" s="180">
        <f t="shared" si="3"/>
        <v>0.45</v>
      </c>
      <c r="C31" s="180">
        <v>-20.744</v>
      </c>
      <c r="D31" s="180">
        <v>898.65</v>
      </c>
      <c r="E31" s="180" t="str">
        <f t="shared" si="4"/>
        <v>Epe=898.65-20.744T</v>
      </c>
      <c r="F31" s="180">
        <v>10</v>
      </c>
      <c r="G31" s="180">
        <v>20</v>
      </c>
      <c r="H31" s="180">
        <v>25</v>
      </c>
      <c r="I31" s="180">
        <f t="shared" si="5"/>
        <v>691.21</v>
      </c>
      <c r="J31" s="181">
        <f t="shared" si="6"/>
        <v>483.77</v>
      </c>
      <c r="K31" s="181">
        <f t="shared" si="7"/>
        <v>380.04999999999995</v>
      </c>
      <c r="L31" s="181"/>
    </row>
    <row r="32" spans="1:12" x14ac:dyDescent="0.45">
      <c r="A32" s="180">
        <v>28</v>
      </c>
      <c r="B32" s="180">
        <f t="shared" si="3"/>
        <v>0.46666666666666667</v>
      </c>
      <c r="C32" s="180">
        <v>-20.632999999999999</v>
      </c>
      <c r="D32" s="180">
        <v>892.67</v>
      </c>
      <c r="E32" s="180" t="str">
        <f t="shared" si="4"/>
        <v>Epe=892.67-20.633T</v>
      </c>
      <c r="F32" s="180">
        <v>10</v>
      </c>
      <c r="G32" s="180">
        <v>20</v>
      </c>
      <c r="H32" s="180">
        <v>25</v>
      </c>
      <c r="I32" s="180">
        <f t="shared" si="5"/>
        <v>686.33999999999992</v>
      </c>
      <c r="J32" s="181">
        <f t="shared" si="6"/>
        <v>480.01</v>
      </c>
      <c r="K32" s="181">
        <f t="shared" si="7"/>
        <v>376.84500000000003</v>
      </c>
      <c r="L32" s="181"/>
    </row>
    <row r="33" spans="1:12" x14ac:dyDescent="0.45">
      <c r="A33" s="180">
        <v>29</v>
      </c>
      <c r="B33" s="180">
        <f t="shared" si="3"/>
        <v>0.48333333333333334</v>
      </c>
      <c r="C33" s="180">
        <v>-20.526</v>
      </c>
      <c r="D33" s="180">
        <v>886.94</v>
      </c>
      <c r="E33" s="180" t="str">
        <f t="shared" si="4"/>
        <v>Epe=886.94-20.526T</v>
      </c>
      <c r="F33" s="180">
        <v>10</v>
      </c>
      <c r="G33" s="180">
        <v>20</v>
      </c>
      <c r="H33" s="180">
        <v>25</v>
      </c>
      <c r="I33" s="180">
        <f t="shared" si="5"/>
        <v>681.68000000000006</v>
      </c>
      <c r="J33" s="181">
        <f t="shared" si="6"/>
        <v>476.42000000000007</v>
      </c>
      <c r="K33" s="181">
        <f t="shared" si="7"/>
        <v>373.79000000000008</v>
      </c>
      <c r="L33" s="181"/>
    </row>
    <row r="34" spans="1:12" x14ac:dyDescent="0.45">
      <c r="A34" s="180">
        <v>30</v>
      </c>
      <c r="B34" s="180">
        <f t="shared" si="3"/>
        <v>0.5</v>
      </c>
      <c r="C34" s="180">
        <v>-20.422000000000001</v>
      </c>
      <c r="D34" s="180">
        <v>881.43</v>
      </c>
      <c r="E34" s="180" t="str">
        <f t="shared" si="4"/>
        <v>Epe=881.43-20.422T</v>
      </c>
      <c r="F34" s="180">
        <v>10</v>
      </c>
      <c r="G34" s="180">
        <v>20</v>
      </c>
      <c r="H34" s="180">
        <v>25</v>
      </c>
      <c r="I34" s="180">
        <f t="shared" si="5"/>
        <v>677.20999999999992</v>
      </c>
      <c r="J34" s="181">
        <f t="shared" si="6"/>
        <v>472.98999999999995</v>
      </c>
      <c r="K34" s="181">
        <f t="shared" si="7"/>
        <v>370.87999999999994</v>
      </c>
      <c r="L34" s="181"/>
    </row>
    <row r="35" spans="1:12" x14ac:dyDescent="0.45">
      <c r="A35" s="180">
        <v>40</v>
      </c>
      <c r="B35" s="180">
        <f t="shared" si="3"/>
        <v>0.66666666666666663</v>
      </c>
      <c r="C35" s="180">
        <v>-19.562999999999999</v>
      </c>
      <c r="D35" s="180">
        <v>836.01</v>
      </c>
      <c r="E35" s="180" t="str">
        <f t="shared" si="4"/>
        <v>Epe=836.01-19.563T</v>
      </c>
      <c r="F35" s="180">
        <v>10</v>
      </c>
      <c r="G35" s="180">
        <v>20</v>
      </c>
      <c r="H35" s="180">
        <v>25</v>
      </c>
      <c r="I35" s="180">
        <f t="shared" si="5"/>
        <v>640.38</v>
      </c>
      <c r="J35" s="181">
        <f t="shared" si="6"/>
        <v>444.75</v>
      </c>
      <c r="K35" s="181">
        <f t="shared" si="7"/>
        <v>346.935</v>
      </c>
      <c r="L35" s="181"/>
    </row>
    <row r="36" spans="1:12" x14ac:dyDescent="0.45">
      <c r="A36" s="180">
        <v>50</v>
      </c>
      <c r="B36" s="180">
        <f t="shared" si="3"/>
        <v>0.83333333333333337</v>
      </c>
      <c r="C36" s="180">
        <v>-18.916</v>
      </c>
      <c r="D36" s="180">
        <v>802.33</v>
      </c>
      <c r="E36" s="180" t="str">
        <f t="shared" si="4"/>
        <v>Epe=802.33-18.916T</v>
      </c>
      <c r="F36" s="180">
        <v>10</v>
      </c>
      <c r="G36" s="180">
        <v>20</v>
      </c>
      <c r="H36" s="180">
        <v>25</v>
      </c>
      <c r="I36" s="180">
        <f t="shared" si="5"/>
        <v>613.17000000000007</v>
      </c>
      <c r="J36" s="181">
        <f t="shared" si="6"/>
        <v>424.01000000000005</v>
      </c>
      <c r="K36" s="181">
        <f t="shared" si="7"/>
        <v>329.43</v>
      </c>
      <c r="L36" s="181"/>
    </row>
    <row r="37" spans="1:12" x14ac:dyDescent="0.45">
      <c r="A37" s="180">
        <v>60</v>
      </c>
      <c r="B37" s="180">
        <f t="shared" si="3"/>
        <v>1</v>
      </c>
      <c r="C37" s="180">
        <v>-18.399999999999999</v>
      </c>
      <c r="D37" s="180">
        <v>775.78</v>
      </c>
      <c r="E37" s="180" t="str">
        <f t="shared" si="4"/>
        <v>Epe=775.78-18.4T</v>
      </c>
      <c r="F37" s="180">
        <v>10</v>
      </c>
      <c r="G37" s="180">
        <v>20</v>
      </c>
      <c r="H37" s="180">
        <v>25</v>
      </c>
      <c r="I37" s="180">
        <f t="shared" si="5"/>
        <v>591.78</v>
      </c>
      <c r="J37" s="181">
        <f t="shared" si="6"/>
        <v>407.78</v>
      </c>
      <c r="K37" s="181">
        <f t="shared" si="7"/>
        <v>315.78000000000003</v>
      </c>
      <c r="L37" s="181"/>
    </row>
    <row r="39" spans="1:12" x14ac:dyDescent="0.45">
      <c r="A39" s="179" t="s">
        <v>31</v>
      </c>
    </row>
    <row r="40" spans="1:12" x14ac:dyDescent="0.45">
      <c r="A40" s="180" t="s">
        <v>97</v>
      </c>
    </row>
    <row r="41" spans="1:12" x14ac:dyDescent="0.45">
      <c r="B41" s="180" t="s">
        <v>98</v>
      </c>
      <c r="C41" s="180" t="s">
        <v>99</v>
      </c>
      <c r="D41" s="179" t="s">
        <v>100</v>
      </c>
    </row>
    <row r="42" spans="1:12" x14ac:dyDescent="0.45">
      <c r="B42" s="181">
        <f>INDEX(A5:D37,MATCH(PressurisationAuto!C3,A5:A37,0),3)</f>
        <v>-22.608000000000001</v>
      </c>
      <c r="C42" s="181">
        <f>INDEX(A5:D37,MATCH(PressurisationAuto!C3,A5:A37,0),4)</f>
        <v>1000.8</v>
      </c>
      <c r="D42" s="179">
        <f>B42*(PressurisationAuto!C2)+C42</f>
        <v>774.71999999999991</v>
      </c>
      <c r="E42" s="180" t="s">
        <v>104</v>
      </c>
    </row>
  </sheetData>
  <mergeCells count="1">
    <mergeCell ref="F2:K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A531C-ECCB-4B13-BBCC-4375BA5CE44A}">
  <dimension ref="A1:C13"/>
  <sheetViews>
    <sheetView workbookViewId="0">
      <selection activeCell="A6" sqref="A6:C9"/>
    </sheetView>
  </sheetViews>
  <sheetFormatPr defaultRowHeight="12.75" x14ac:dyDescent="0.35"/>
  <cols>
    <col min="1" max="1" width="18.3984375" customWidth="1"/>
    <col min="2" max="2" width="20.265625" customWidth="1"/>
  </cols>
  <sheetData>
    <row r="1" spans="1:3" x14ac:dyDescent="0.35">
      <c r="A1" t="s">
        <v>62</v>
      </c>
      <c r="B1" t="s">
        <v>63</v>
      </c>
      <c r="C1" t="s">
        <v>64</v>
      </c>
    </row>
    <row r="2" spans="1:3" x14ac:dyDescent="0.35">
      <c r="A2" s="164" t="s">
        <v>65</v>
      </c>
      <c r="B2" s="1">
        <f>-30.223*C2+1198.6</f>
        <v>896.36999999999989</v>
      </c>
      <c r="C2">
        <v>10</v>
      </c>
    </row>
    <row r="3" spans="1:3" x14ac:dyDescent="0.35">
      <c r="B3" s="1">
        <f>-30.223*C3+1198.6</f>
        <v>745.25499999999988</v>
      </c>
      <c r="C3">
        <v>15</v>
      </c>
    </row>
    <row r="4" spans="1:3" x14ac:dyDescent="0.35">
      <c r="B4" s="1">
        <f>-30.223*C4+1198.6</f>
        <v>594.13999999999987</v>
      </c>
      <c r="C4">
        <v>20</v>
      </c>
    </row>
    <row r="5" spans="1:3" x14ac:dyDescent="0.35">
      <c r="B5" s="1"/>
    </row>
    <row r="6" spans="1:3" x14ac:dyDescent="0.35">
      <c r="A6" t="s">
        <v>31</v>
      </c>
    </row>
    <row r="7" spans="1:3" x14ac:dyDescent="0.35">
      <c r="A7" t="s">
        <v>66</v>
      </c>
      <c r="B7" s="1">
        <f>-18.4*C7+775.78</f>
        <v>591.78</v>
      </c>
      <c r="C7">
        <v>10</v>
      </c>
    </row>
    <row r="8" spans="1:3" x14ac:dyDescent="0.35">
      <c r="B8" s="1">
        <f>-18.4*C8+775.78</f>
        <v>499.78</v>
      </c>
      <c r="C8">
        <v>15</v>
      </c>
    </row>
    <row r="9" spans="1:3" x14ac:dyDescent="0.35">
      <c r="B9" s="1">
        <f>-18.4*C9+775.78</f>
        <v>407.78</v>
      </c>
      <c r="C9">
        <v>20</v>
      </c>
    </row>
    <row r="13" spans="1:3" x14ac:dyDescent="0.35">
      <c r="B13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55581-4709-4E27-B8A7-0678C70AA0D4}">
  <dimension ref="A1:G12"/>
  <sheetViews>
    <sheetView workbookViewId="0">
      <selection activeCell="A6" sqref="A6:A12"/>
    </sheetView>
  </sheetViews>
  <sheetFormatPr defaultRowHeight="12.75" x14ac:dyDescent="0.35"/>
  <cols>
    <col min="2" max="2" width="10.3984375" customWidth="1"/>
    <col min="3" max="3" width="30.1328125" customWidth="1"/>
    <col min="4" max="4" width="14.59765625" customWidth="1"/>
    <col min="5" max="5" width="15.59765625" customWidth="1"/>
    <col min="6" max="6" width="15.86328125" customWidth="1"/>
  </cols>
  <sheetData>
    <row r="1" spans="1:7" x14ac:dyDescent="0.35">
      <c r="A1" s="165" t="s">
        <v>88</v>
      </c>
      <c r="B1" s="165" t="s">
        <v>86</v>
      </c>
      <c r="C1" s="165" t="s">
        <v>89</v>
      </c>
      <c r="D1" s="7"/>
      <c r="E1" s="165" t="s">
        <v>87</v>
      </c>
      <c r="F1" s="165" t="s">
        <v>90</v>
      </c>
      <c r="G1" s="164" t="s">
        <v>105</v>
      </c>
    </row>
    <row r="2" spans="1:7" ht="16.5" x14ac:dyDescent="0.35">
      <c r="A2" s="177">
        <v>10</v>
      </c>
      <c r="B2" s="7">
        <v>0.5</v>
      </c>
      <c r="C2" s="177" t="s">
        <v>83</v>
      </c>
      <c r="D2" s="7">
        <f>892.42*(B2^-0.192)</f>
        <v>1019.4526376125787</v>
      </c>
      <c r="E2" s="178">
        <f>EXP(6.812376+0.016575*A2-0.0018419*A2^2) *B2^(-(0.192-0.002*A2+0.0002*A2^2))</f>
        <v>1019.4517468336862</v>
      </c>
      <c r="F2" s="7">
        <v>896.37</v>
      </c>
      <c r="G2" s="178">
        <f>EXP(6.812+0.0166*A2-0.00184*A2^2) *B2^(-(0.192-0.002*A2+0.0002*A2^2))</f>
        <v>1019.5169938333654</v>
      </c>
    </row>
    <row r="3" spans="1:7" ht="16.5" x14ac:dyDescent="0.35">
      <c r="A3" s="177">
        <v>20</v>
      </c>
      <c r="B3" s="165">
        <v>0.5</v>
      </c>
      <c r="C3" s="177" t="s">
        <v>84</v>
      </c>
      <c r="D3" s="7">
        <f>606.14*(B3^-0.232)</f>
        <v>711.88837923144388</v>
      </c>
      <c r="E3" s="7">
        <f>EXP(6.812376+0.016575*A3-0.0018419*A3^2) *B3^(-(0.192-0.002*A3+0.0002*A3^2))</f>
        <v>711.89195114754011</v>
      </c>
      <c r="F3" s="7">
        <v>594.14</v>
      </c>
      <c r="G3" s="178">
        <f>EXP(6.812+0.0166*A3-0.00184*A3^2) *B3^(-(0.192-0.002*A3+0.0002*A3^2))</f>
        <v>712.52154187045426</v>
      </c>
    </row>
    <row r="4" spans="1:7" ht="16.5" x14ac:dyDescent="0.35">
      <c r="A4" s="177">
        <v>25</v>
      </c>
      <c r="B4" s="165">
        <v>0.5</v>
      </c>
      <c r="C4" s="177" t="s">
        <v>85</v>
      </c>
      <c r="D4" s="7">
        <f>435.09*(B4^-0.267)</f>
        <v>523.54511358212346</v>
      </c>
      <c r="E4" s="7">
        <f>EXP(6.812376+0.016575*A4-0.0018419*A4^2) *B4^(-(0.192-0.002*A4+0.0002*A4^2))</f>
        <v>523.55065992264383</v>
      </c>
      <c r="F4" s="7">
        <v>443.02499999999998</v>
      </c>
      <c r="G4" s="178">
        <f>EXP(6.812+0.0166*A4-0.00184*A4^2) *B4^(-(0.192-0.002*A4+0.0002*A4^2))</f>
        <v>524.30328088620809</v>
      </c>
    </row>
    <row r="5" spans="1:7" ht="13.15" thickBot="1" x14ac:dyDescent="0.4"/>
    <row r="6" spans="1:7" ht="13.15" x14ac:dyDescent="0.4">
      <c r="A6" s="130" t="s">
        <v>77</v>
      </c>
    </row>
    <row r="7" spans="1:7" x14ac:dyDescent="0.35">
      <c r="A7" s="170" t="s">
        <v>72</v>
      </c>
    </row>
    <row r="8" spans="1:7" ht="15.75" x14ac:dyDescent="0.55000000000000004">
      <c r="A8" s="169" t="s">
        <v>79</v>
      </c>
    </row>
    <row r="10" spans="1:7" x14ac:dyDescent="0.35">
      <c r="A10" s="170" t="s">
        <v>71</v>
      </c>
    </row>
    <row r="11" spans="1:7" ht="15.75" x14ac:dyDescent="0.55000000000000004">
      <c r="A11" s="169" t="s">
        <v>80</v>
      </c>
    </row>
    <row r="12" spans="1:7" x14ac:dyDescent="0.35">
      <c r="A12" s="164" t="s">
        <v>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FAFE3-A2AC-469E-9810-CCE8A4ED07E7}">
  <dimension ref="A1:T35"/>
  <sheetViews>
    <sheetView workbookViewId="0"/>
  </sheetViews>
  <sheetFormatPr defaultColWidth="9.265625" defaultRowHeight="14.25" x14ac:dyDescent="0.45"/>
  <cols>
    <col min="1" max="1" width="9.265625" style="49"/>
    <col min="2" max="2" width="8.59765625" style="49" customWidth="1"/>
    <col min="3" max="7" width="9.265625" style="49"/>
    <col min="8" max="8" width="3.59765625" style="49" customWidth="1"/>
    <col min="9" max="14" width="9.265625" style="49"/>
    <col min="15" max="15" width="2.265625" style="49" customWidth="1"/>
    <col min="16" max="16384" width="9.265625" style="49"/>
  </cols>
  <sheetData>
    <row r="1" spans="1:20" ht="14.65" thickBot="1" x14ac:dyDescent="0.5">
      <c r="A1" s="47"/>
      <c r="B1" s="208" t="s">
        <v>28</v>
      </c>
      <c r="C1" s="209"/>
      <c r="D1" s="209"/>
      <c r="E1" s="209"/>
      <c r="F1" s="209"/>
      <c r="G1" s="210"/>
      <c r="H1" s="48"/>
      <c r="I1" s="205" t="s">
        <v>28</v>
      </c>
      <c r="J1" s="206"/>
      <c r="K1" s="206"/>
      <c r="L1" s="206"/>
      <c r="M1" s="206"/>
      <c r="N1" s="207"/>
    </row>
    <row r="2" spans="1:20" x14ac:dyDescent="0.45">
      <c r="A2" s="47"/>
      <c r="B2" s="211" t="s">
        <v>27</v>
      </c>
      <c r="C2" s="211"/>
      <c r="D2" s="87" t="s">
        <v>16</v>
      </c>
      <c r="E2" s="47"/>
      <c r="F2" s="47"/>
      <c r="G2" s="47"/>
      <c r="H2" s="47"/>
      <c r="I2" s="211" t="s">
        <v>27</v>
      </c>
      <c r="J2" s="211"/>
      <c r="K2" s="87" t="s">
        <v>16</v>
      </c>
    </row>
    <row r="3" spans="1:20" x14ac:dyDescent="0.45">
      <c r="A3" s="47"/>
      <c r="B3" s="204" t="s">
        <v>0</v>
      </c>
      <c r="C3" s="204"/>
      <c r="D3" s="50">
        <v>17</v>
      </c>
      <c r="E3" s="47"/>
      <c r="F3" s="47"/>
      <c r="G3" s="47"/>
      <c r="H3" s="47"/>
      <c r="I3" s="204" t="s">
        <v>0</v>
      </c>
      <c r="J3" s="204"/>
      <c r="K3" s="50">
        <v>17</v>
      </c>
    </row>
    <row r="4" spans="1:20" x14ac:dyDescent="0.45">
      <c r="A4" s="47"/>
      <c r="B4" s="204" t="s">
        <v>26</v>
      </c>
      <c r="C4" s="204"/>
      <c r="D4" s="50">
        <v>100</v>
      </c>
      <c r="E4" s="47"/>
      <c r="F4" s="47"/>
      <c r="G4" s="47"/>
      <c r="H4" s="47"/>
      <c r="I4" s="204" t="s">
        <v>26</v>
      </c>
      <c r="J4" s="204"/>
      <c r="K4" s="50">
        <v>100</v>
      </c>
      <c r="P4" s="203" t="s">
        <v>30</v>
      </c>
      <c r="Q4" s="203"/>
      <c r="R4" s="203"/>
      <c r="S4" s="203"/>
      <c r="T4" s="203"/>
    </row>
    <row r="5" spans="1:20" ht="14.65" customHeight="1" x14ac:dyDescent="0.45">
      <c r="A5" s="47"/>
      <c r="B5" s="204" t="s">
        <v>6</v>
      </c>
      <c r="C5" s="204"/>
      <c r="D5" s="50">
        <v>1</v>
      </c>
      <c r="E5" s="47"/>
      <c r="F5" s="47"/>
      <c r="G5" s="47"/>
      <c r="H5" s="47"/>
      <c r="I5" s="204" t="s">
        <v>6</v>
      </c>
      <c r="J5" s="204"/>
      <c r="K5" s="50">
        <v>5</v>
      </c>
      <c r="P5" s="203"/>
      <c r="Q5" s="203"/>
      <c r="R5" s="203"/>
      <c r="S5" s="203"/>
      <c r="T5" s="203"/>
    </row>
    <row r="6" spans="1:20" x14ac:dyDescent="0.45">
      <c r="A6" s="47"/>
      <c r="B6" s="204" t="s">
        <v>7</v>
      </c>
      <c r="C6" s="204"/>
      <c r="D6" s="50">
        <v>11</v>
      </c>
      <c r="E6" s="47"/>
      <c r="F6" s="47"/>
      <c r="G6" s="47"/>
      <c r="H6" s="47"/>
      <c r="I6" s="204" t="s">
        <v>7</v>
      </c>
      <c r="J6" s="204"/>
      <c r="K6" s="50">
        <v>15</v>
      </c>
      <c r="P6" s="203"/>
      <c r="Q6" s="203"/>
      <c r="R6" s="203"/>
      <c r="S6" s="203"/>
      <c r="T6" s="203"/>
    </row>
    <row r="7" spans="1:20" ht="14.65" thickBot="1" x14ac:dyDescent="0.5">
      <c r="A7" s="47"/>
      <c r="B7" s="47"/>
      <c r="C7" s="47"/>
      <c r="D7" s="47"/>
      <c r="E7" s="47"/>
      <c r="F7" s="47"/>
      <c r="G7" s="47"/>
      <c r="H7" s="47"/>
    </row>
    <row r="8" spans="1:20" ht="14.65" thickBot="1" x14ac:dyDescent="0.5">
      <c r="A8" s="51"/>
      <c r="B8" s="52"/>
      <c r="C8" s="53"/>
      <c r="D8" s="53"/>
      <c r="E8" s="53" t="s">
        <v>4</v>
      </c>
      <c r="F8" s="53"/>
      <c r="G8" s="54"/>
      <c r="H8" s="55"/>
      <c r="I8" s="56"/>
      <c r="J8" s="57"/>
      <c r="K8" s="57"/>
      <c r="L8" s="57" t="s">
        <v>4</v>
      </c>
      <c r="M8" s="57"/>
      <c r="N8" s="58"/>
      <c r="O8" s="59"/>
      <c r="P8" s="57"/>
      <c r="Q8" s="57"/>
      <c r="R8" s="57" t="s">
        <v>4</v>
      </c>
      <c r="S8" s="57"/>
      <c r="T8" s="58"/>
    </row>
    <row r="9" spans="1:20" x14ac:dyDescent="0.45">
      <c r="A9" s="60" t="s">
        <v>1</v>
      </c>
      <c r="B9" s="61">
        <v>0</v>
      </c>
      <c r="C9" s="62">
        <v>1</v>
      </c>
      <c r="D9" s="62">
        <v>2</v>
      </c>
      <c r="E9" s="63">
        <v>3</v>
      </c>
      <c r="F9" s="62">
        <v>4</v>
      </c>
      <c r="G9" s="64">
        <v>5</v>
      </c>
      <c r="H9" s="65"/>
      <c r="I9" s="66">
        <v>0</v>
      </c>
      <c r="J9" s="67">
        <v>1</v>
      </c>
      <c r="K9" s="67">
        <v>2</v>
      </c>
      <c r="L9" s="68">
        <v>3</v>
      </c>
      <c r="M9" s="67">
        <v>4</v>
      </c>
      <c r="N9" s="69">
        <v>5</v>
      </c>
      <c r="O9" s="59"/>
      <c r="P9" s="67">
        <v>1</v>
      </c>
      <c r="Q9" s="67">
        <v>2</v>
      </c>
      <c r="R9" s="68">
        <v>3</v>
      </c>
      <c r="S9" s="67">
        <v>4</v>
      </c>
      <c r="T9" s="69">
        <v>5</v>
      </c>
    </row>
    <row r="10" spans="1:20" x14ac:dyDescent="0.45">
      <c r="A10" s="70">
        <v>63</v>
      </c>
      <c r="B10" s="71">
        <v>4.3219684710683923</v>
      </c>
      <c r="C10" s="72">
        <v>6.513343586680131</v>
      </c>
      <c r="D10" s="72">
        <v>8.7047187022918688</v>
      </c>
      <c r="E10" s="72">
        <v>10.896093817903608</v>
      </c>
      <c r="F10" s="72">
        <v>13.087468933515346</v>
      </c>
      <c r="G10" s="73">
        <v>15.278844049127084</v>
      </c>
      <c r="H10" s="74"/>
      <c r="I10" s="75">
        <v>4.3219684710683923</v>
      </c>
      <c r="J10" s="76">
        <v>5.9289768891836676</v>
      </c>
      <c r="K10" s="76">
        <v>7.535985307298942</v>
      </c>
      <c r="L10" s="76">
        <v>9.1429937254142182</v>
      </c>
      <c r="M10" s="76">
        <v>10.750002143529493</v>
      </c>
      <c r="N10" s="77">
        <v>12.357010561644767</v>
      </c>
      <c r="O10" s="59"/>
      <c r="P10" s="76">
        <f>J10-C10</f>
        <v>-0.58436669749646342</v>
      </c>
      <c r="Q10" s="76">
        <f t="shared" ref="Q10:T25" si="0">K10-D10</f>
        <v>-1.1687333949929268</v>
      </c>
      <c r="R10" s="76">
        <f t="shared" si="0"/>
        <v>-1.7531000924893902</v>
      </c>
      <c r="S10" s="76">
        <f t="shared" si="0"/>
        <v>-2.3374667899858537</v>
      </c>
      <c r="T10" s="76">
        <f t="shared" si="0"/>
        <v>-2.9218334874823171</v>
      </c>
    </row>
    <row r="11" spans="1:20" x14ac:dyDescent="0.45">
      <c r="A11" s="70">
        <v>75</v>
      </c>
      <c r="B11" s="71">
        <v>6.1340870661594442</v>
      </c>
      <c r="C11" s="72">
        <v>9.2442637932133387</v>
      </c>
      <c r="D11" s="72">
        <v>12.354440520267234</v>
      </c>
      <c r="E11" s="72">
        <v>15.464617247321129</v>
      </c>
      <c r="F11" s="72">
        <v>18.574793974375023</v>
      </c>
      <c r="G11" s="73">
        <v>21.684970701428917</v>
      </c>
      <c r="H11" s="74"/>
      <c r="I11" s="75">
        <v>6.1340870661594442</v>
      </c>
      <c r="J11" s="76">
        <v>8.4148833326656352</v>
      </c>
      <c r="K11" s="76">
        <v>10.695679599171825</v>
      </c>
      <c r="L11" s="76">
        <v>12.976475865678015</v>
      </c>
      <c r="M11" s="76">
        <v>15.257272132184205</v>
      </c>
      <c r="N11" s="77">
        <v>17.538068398690392</v>
      </c>
      <c r="O11" s="59"/>
      <c r="P11" s="76">
        <f t="shared" ref="P11:T33" si="1">J11-C11</f>
        <v>-0.82938046054770354</v>
      </c>
      <c r="Q11" s="76">
        <f t="shared" si="0"/>
        <v>-1.6587609210954088</v>
      </c>
      <c r="R11" s="76">
        <f t="shared" si="0"/>
        <v>-2.4881413816431142</v>
      </c>
      <c r="S11" s="76">
        <f t="shared" si="0"/>
        <v>-3.3175218421908177</v>
      </c>
      <c r="T11" s="76">
        <f t="shared" si="0"/>
        <v>-4.1469023027385248</v>
      </c>
    </row>
    <row r="12" spans="1:20" x14ac:dyDescent="0.45">
      <c r="A12" s="70">
        <v>90</v>
      </c>
      <c r="B12" s="71">
        <v>8.8330853752695973</v>
      </c>
      <c r="C12" s="72">
        <v>13.311739862227206</v>
      </c>
      <c r="D12" s="72">
        <v>17.790394349184815</v>
      </c>
      <c r="E12" s="72">
        <v>22.269048836142424</v>
      </c>
      <c r="F12" s="72">
        <v>26.74770332310003</v>
      </c>
      <c r="G12" s="73">
        <v>31.226357810057639</v>
      </c>
      <c r="H12" s="74"/>
      <c r="I12" s="75">
        <v>8.8330853752695973</v>
      </c>
      <c r="J12" s="76">
        <v>12.11743199903851</v>
      </c>
      <c r="K12" s="76">
        <v>15.401778622807424</v>
      </c>
      <c r="L12" s="76">
        <v>18.686125246576339</v>
      </c>
      <c r="M12" s="76">
        <v>21.97047187034525</v>
      </c>
      <c r="N12" s="77">
        <v>25.254818494114165</v>
      </c>
      <c r="O12" s="59"/>
      <c r="P12" s="76">
        <f t="shared" si="1"/>
        <v>-1.1943078631886959</v>
      </c>
      <c r="Q12" s="76">
        <f t="shared" si="0"/>
        <v>-2.3886157263773917</v>
      </c>
      <c r="R12" s="76">
        <f t="shared" si="0"/>
        <v>-3.5829235895660858</v>
      </c>
      <c r="S12" s="76">
        <f t="shared" si="0"/>
        <v>-4.7772314527547799</v>
      </c>
      <c r="T12" s="76">
        <f t="shared" si="0"/>
        <v>-5.971539315943474</v>
      </c>
    </row>
    <row r="13" spans="1:20" x14ac:dyDescent="0.45">
      <c r="A13" s="70">
        <v>110</v>
      </c>
      <c r="B13" s="71">
        <v>13.195102844538535</v>
      </c>
      <c r="C13" s="72">
        <v>19.88543855962336</v>
      </c>
      <c r="D13" s="72">
        <v>26.575774274708181</v>
      </c>
      <c r="E13" s="72">
        <v>33.266109989793009</v>
      </c>
      <c r="F13" s="72">
        <v>39.956445704877822</v>
      </c>
      <c r="G13" s="73">
        <v>46.64678141996265</v>
      </c>
      <c r="H13" s="74"/>
      <c r="I13" s="75">
        <v>13.195102844538535</v>
      </c>
      <c r="J13" s="76">
        <v>18.101349035600741</v>
      </c>
      <c r="K13" s="76">
        <v>23.007595226662943</v>
      </c>
      <c r="L13" s="86">
        <v>27.913841417725148</v>
      </c>
      <c r="M13" s="76">
        <v>32.820087608787354</v>
      </c>
      <c r="N13" s="77">
        <v>37.726333799849556</v>
      </c>
      <c r="O13" s="59"/>
      <c r="P13" s="76">
        <f t="shared" si="1"/>
        <v>-1.7840895240226189</v>
      </c>
      <c r="Q13" s="76">
        <f t="shared" si="0"/>
        <v>-3.5681790480452378</v>
      </c>
      <c r="R13" s="76">
        <f t="shared" si="0"/>
        <v>-5.3522685720678602</v>
      </c>
      <c r="S13" s="76">
        <f t="shared" si="0"/>
        <v>-7.1363580960904685</v>
      </c>
      <c r="T13" s="76">
        <f t="shared" si="0"/>
        <v>-8.9204476201130944</v>
      </c>
    </row>
    <row r="14" spans="1:20" x14ac:dyDescent="0.45">
      <c r="A14" s="70">
        <v>125</v>
      </c>
      <c r="B14" s="71">
        <v>17.101147542452459</v>
      </c>
      <c r="C14" s="72">
        <v>25.771971826293502</v>
      </c>
      <c r="D14" s="72">
        <v>34.442796110134537</v>
      </c>
      <c r="E14" s="72">
        <v>43.11362039397558</v>
      </c>
      <c r="F14" s="72">
        <v>51.784444677816623</v>
      </c>
      <c r="G14" s="73">
        <v>60.455268961657666</v>
      </c>
      <c r="H14" s="74"/>
      <c r="I14" s="75">
        <v>17.101147542452459</v>
      </c>
      <c r="J14" s="76">
        <v>23.459752017269224</v>
      </c>
      <c r="K14" s="76">
        <v>29.818356492085989</v>
      </c>
      <c r="L14" s="76">
        <v>36.176960966902755</v>
      </c>
      <c r="M14" s="76">
        <v>42.535565441719513</v>
      </c>
      <c r="N14" s="77">
        <v>48.894169916536285</v>
      </c>
      <c r="O14" s="59"/>
      <c r="P14" s="76">
        <f t="shared" si="1"/>
        <v>-2.3122198090242776</v>
      </c>
      <c r="Q14" s="76">
        <f t="shared" si="0"/>
        <v>-4.6244396180485481</v>
      </c>
      <c r="R14" s="76">
        <f t="shared" si="0"/>
        <v>-6.9366594270728257</v>
      </c>
      <c r="S14" s="76">
        <f t="shared" si="0"/>
        <v>-9.2488792360971104</v>
      </c>
      <c r="T14" s="76">
        <f t="shared" si="0"/>
        <v>-11.561099045121381</v>
      </c>
    </row>
    <row r="15" spans="1:20" x14ac:dyDescent="0.45">
      <c r="A15" s="70">
        <v>140</v>
      </c>
      <c r="B15" s="71">
        <v>21.443337659588366</v>
      </c>
      <c r="C15" s="72">
        <v>32.315790075065138</v>
      </c>
      <c r="D15" s="72">
        <v>43.18824249054191</v>
      </c>
      <c r="E15" s="72">
        <v>54.060694906018682</v>
      </c>
      <c r="F15" s="72">
        <v>64.933147321495454</v>
      </c>
      <c r="G15" s="73">
        <v>75.805599736972241</v>
      </c>
      <c r="H15" s="74"/>
      <c r="I15" s="75">
        <v>21.443337659588366</v>
      </c>
      <c r="J15" s="76">
        <v>29.416469430938001</v>
      </c>
      <c r="K15" s="76">
        <v>37.389601202287636</v>
      </c>
      <c r="L15" s="76">
        <v>45.362732973637264</v>
      </c>
      <c r="M15" s="76">
        <v>53.335864744986907</v>
      </c>
      <c r="N15" s="77">
        <v>61.308996516336542</v>
      </c>
      <c r="O15" s="59"/>
      <c r="P15" s="76">
        <f t="shared" si="1"/>
        <v>-2.8993206441271369</v>
      </c>
      <c r="Q15" s="76">
        <f t="shared" si="0"/>
        <v>-5.7986412882542737</v>
      </c>
      <c r="R15" s="76">
        <f t="shared" si="0"/>
        <v>-8.6979619323814177</v>
      </c>
      <c r="S15" s="76">
        <f t="shared" si="0"/>
        <v>-11.597282576508547</v>
      </c>
      <c r="T15" s="76">
        <f t="shared" si="0"/>
        <v>-14.496603220635699</v>
      </c>
    </row>
    <row r="16" spans="1:20" x14ac:dyDescent="0.45">
      <c r="A16" s="70">
        <v>160</v>
      </c>
      <c r="B16" s="71">
        <v>27.996277539558292</v>
      </c>
      <c r="C16" s="72">
        <v>42.19127834547163</v>
      </c>
      <c r="D16" s="72">
        <v>56.386279151384969</v>
      </c>
      <c r="E16" s="72">
        <v>70.581279957298307</v>
      </c>
      <c r="F16" s="72">
        <v>84.776280763211645</v>
      </c>
      <c r="G16" s="73">
        <v>98.971281569124983</v>
      </c>
      <c r="H16" s="74"/>
      <c r="I16" s="75">
        <v>27.996277539558292</v>
      </c>
      <c r="J16" s="76">
        <v>38.405944797228074</v>
      </c>
      <c r="K16" s="76">
        <v>48.815612054897855</v>
      </c>
      <c r="L16" s="76">
        <v>59.225279312567636</v>
      </c>
      <c r="M16" s="76">
        <v>69.634946570237418</v>
      </c>
      <c r="N16" s="77">
        <v>80.044613827907199</v>
      </c>
      <c r="O16" s="59"/>
      <c r="P16" s="76">
        <f t="shared" si="1"/>
        <v>-3.7853335482435568</v>
      </c>
      <c r="Q16" s="76">
        <f t="shared" si="0"/>
        <v>-7.5706670964871137</v>
      </c>
      <c r="R16" s="76">
        <f t="shared" si="0"/>
        <v>-11.356000644730671</v>
      </c>
      <c r="S16" s="76">
        <f t="shared" si="0"/>
        <v>-15.141334192974227</v>
      </c>
      <c r="T16" s="76">
        <f t="shared" si="0"/>
        <v>-18.926667741217784</v>
      </c>
    </row>
    <row r="17" spans="1:20" x14ac:dyDescent="0.45">
      <c r="A17" s="70">
        <v>180</v>
      </c>
      <c r="B17" s="71">
        <v>35.421620913382</v>
      </c>
      <c r="C17" s="72">
        <v>53.381506355357345</v>
      </c>
      <c r="D17" s="72">
        <v>71.341391797332676</v>
      </c>
      <c r="E17" s="72">
        <v>89.301277239308035</v>
      </c>
      <c r="F17" s="72">
        <v>107.26116268128337</v>
      </c>
      <c r="G17" s="73">
        <v>125.2210481232587</v>
      </c>
      <c r="H17" s="74"/>
      <c r="I17" s="75">
        <v>35.421620913382</v>
      </c>
      <c r="J17" s="76">
        <v>48.592203570830584</v>
      </c>
      <c r="K17" s="76">
        <v>61.762786228279168</v>
      </c>
      <c r="L17" s="76">
        <v>74.933368885727759</v>
      </c>
      <c r="M17" s="76">
        <v>88.10395154317635</v>
      </c>
      <c r="N17" s="77">
        <v>101.27453420062493</v>
      </c>
      <c r="O17" s="59"/>
      <c r="P17" s="76">
        <f t="shared" si="1"/>
        <v>-4.7893027845267611</v>
      </c>
      <c r="Q17" s="76">
        <f t="shared" si="0"/>
        <v>-9.5786055690535079</v>
      </c>
      <c r="R17" s="76">
        <f t="shared" si="0"/>
        <v>-14.367908353580276</v>
      </c>
      <c r="S17" s="76">
        <f t="shared" si="0"/>
        <v>-19.157211138107016</v>
      </c>
      <c r="T17" s="76">
        <f t="shared" si="0"/>
        <v>-23.94651392263377</v>
      </c>
    </row>
    <row r="18" spans="1:20" x14ac:dyDescent="0.45">
      <c r="A18" s="70">
        <v>200</v>
      </c>
      <c r="B18" s="71">
        <v>43.719367781059518</v>
      </c>
      <c r="C18" s="72">
        <v>65.886474104722325</v>
      </c>
      <c r="D18" s="121">
        <v>88.053580428385118</v>
      </c>
      <c r="E18" s="72">
        <v>110.22068675204792</v>
      </c>
      <c r="F18" s="72">
        <v>132.38779307571073</v>
      </c>
      <c r="G18" s="73">
        <v>154.55489939937351</v>
      </c>
      <c r="H18" s="74"/>
      <c r="I18" s="75">
        <v>43.719367781059518</v>
      </c>
      <c r="J18" s="76">
        <v>59.975245751745575</v>
      </c>
      <c r="K18" s="122">
        <v>76.231123722431633</v>
      </c>
      <c r="L18" s="76">
        <v>92.487001693117691</v>
      </c>
      <c r="M18" s="76">
        <v>108.74287966380375</v>
      </c>
      <c r="N18" s="77">
        <v>124.99875763448979</v>
      </c>
      <c r="O18" s="59"/>
      <c r="P18" s="76">
        <f t="shared" si="1"/>
        <v>-5.9112283529767495</v>
      </c>
      <c r="Q18" s="122">
        <f t="shared" si="0"/>
        <v>-11.822456705953485</v>
      </c>
      <c r="R18" s="76">
        <f t="shared" si="0"/>
        <v>-17.733685058930234</v>
      </c>
      <c r="S18" s="76">
        <f t="shared" si="0"/>
        <v>-23.644913411906984</v>
      </c>
      <c r="T18" s="76">
        <f t="shared" si="0"/>
        <v>-29.556141764883719</v>
      </c>
    </row>
    <row r="19" spans="1:20" x14ac:dyDescent="0.45">
      <c r="A19" s="70">
        <v>225</v>
      </c>
      <c r="B19" s="71">
        <v>55.318368778888271</v>
      </c>
      <c r="C19" s="72">
        <v>83.36653655007116</v>
      </c>
      <c r="D19" s="72">
        <v>111.41470432125405</v>
      </c>
      <c r="E19" s="72">
        <v>139.46287209243695</v>
      </c>
      <c r="F19" s="72">
        <v>167.51103986361983</v>
      </c>
      <c r="G19" s="73">
        <v>195.55920763480273</v>
      </c>
      <c r="H19" s="74"/>
      <c r="I19" s="75">
        <v>55.318368778888271</v>
      </c>
      <c r="J19" s="76">
        <v>75.887025144422395</v>
      </c>
      <c r="K19" s="76">
        <v>96.45568150995652</v>
      </c>
      <c r="L19" s="76">
        <v>117.02433787549063</v>
      </c>
      <c r="M19" s="76">
        <v>137.59299424102477</v>
      </c>
      <c r="N19" s="77">
        <v>158.16165060655888</v>
      </c>
      <c r="O19" s="59"/>
      <c r="P19" s="76">
        <f t="shared" si="1"/>
        <v>-7.4795114056487648</v>
      </c>
      <c r="Q19" s="76">
        <f t="shared" si="0"/>
        <v>-14.95902281129753</v>
      </c>
      <c r="R19" s="76">
        <f t="shared" si="0"/>
        <v>-22.438534216946323</v>
      </c>
      <c r="S19" s="76">
        <f t="shared" si="0"/>
        <v>-29.918045622595059</v>
      </c>
      <c r="T19" s="76">
        <f t="shared" si="0"/>
        <v>-37.397557028243853</v>
      </c>
    </row>
    <row r="20" spans="1:20" x14ac:dyDescent="0.45">
      <c r="A20" s="70">
        <v>250</v>
      </c>
      <c r="B20" s="71">
        <v>68.404590169809836</v>
      </c>
      <c r="C20" s="72">
        <v>103.08788730517401</v>
      </c>
      <c r="D20" s="72">
        <v>137.77118444053815</v>
      </c>
      <c r="E20" s="72">
        <v>172.45448157590232</v>
      </c>
      <c r="F20" s="72">
        <v>207.13777871126649</v>
      </c>
      <c r="G20" s="73">
        <v>241.82107584663066</v>
      </c>
      <c r="H20" s="74"/>
      <c r="I20" s="75">
        <v>68.404590169809836</v>
      </c>
      <c r="J20" s="76">
        <v>93.839008069076897</v>
      </c>
      <c r="K20" s="76">
        <v>119.27342596834396</v>
      </c>
      <c r="L20" s="76">
        <v>144.70784386761102</v>
      </c>
      <c r="M20" s="76">
        <v>170.14226176687805</v>
      </c>
      <c r="N20" s="77">
        <v>195.57667966614514</v>
      </c>
      <c r="O20" s="59"/>
      <c r="P20" s="76">
        <f t="shared" si="1"/>
        <v>-9.2488792360971104</v>
      </c>
      <c r="Q20" s="76">
        <f t="shared" si="0"/>
        <v>-18.497758472194192</v>
      </c>
      <c r="R20" s="76">
        <f t="shared" si="0"/>
        <v>-27.746637708291303</v>
      </c>
      <c r="S20" s="76">
        <f t="shared" si="0"/>
        <v>-36.995516944388442</v>
      </c>
      <c r="T20" s="76">
        <f t="shared" si="0"/>
        <v>-46.244396180485523</v>
      </c>
    </row>
    <row r="21" spans="1:20" x14ac:dyDescent="0.45">
      <c r="A21" s="70">
        <v>280</v>
      </c>
      <c r="B21" s="71">
        <v>85.773350638353463</v>
      </c>
      <c r="C21" s="72">
        <v>129.26316030026055</v>
      </c>
      <c r="D21" s="72">
        <v>172.75296996216764</v>
      </c>
      <c r="E21" s="72">
        <v>216.24277962407473</v>
      </c>
      <c r="F21" s="72">
        <v>259.73258928598182</v>
      </c>
      <c r="G21" s="73">
        <v>303.22239894788896</v>
      </c>
      <c r="H21" s="74"/>
      <c r="I21" s="75">
        <v>85.773350638353463</v>
      </c>
      <c r="J21" s="76">
        <v>117.665877723752</v>
      </c>
      <c r="K21" s="76">
        <v>149.55840480915055</v>
      </c>
      <c r="L21" s="76">
        <v>181.45093189454906</v>
      </c>
      <c r="M21" s="76">
        <v>213.34345897994763</v>
      </c>
      <c r="N21" s="77">
        <v>245.23598606534617</v>
      </c>
      <c r="O21" s="59"/>
      <c r="P21" s="76">
        <f t="shared" si="1"/>
        <v>-11.597282576508547</v>
      </c>
      <c r="Q21" s="76">
        <f t="shared" si="0"/>
        <v>-23.194565153017095</v>
      </c>
      <c r="R21" s="76">
        <f t="shared" si="0"/>
        <v>-34.791847729525671</v>
      </c>
      <c r="S21" s="76">
        <f t="shared" si="0"/>
        <v>-46.38913030603419</v>
      </c>
      <c r="T21" s="76">
        <f t="shared" si="0"/>
        <v>-57.986412882542794</v>
      </c>
    </row>
    <row r="22" spans="1:20" x14ac:dyDescent="0.45">
      <c r="A22" s="70">
        <v>315</v>
      </c>
      <c r="B22" s="71">
        <v>108.51780195396768</v>
      </c>
      <c r="C22" s="72">
        <v>163.53976992867217</v>
      </c>
      <c r="D22" s="72">
        <v>218.56173790337664</v>
      </c>
      <c r="E22" s="72">
        <v>273.58370587808116</v>
      </c>
      <c r="F22" s="72">
        <v>328.60567385278563</v>
      </c>
      <c r="G22" s="73">
        <v>383.62764182749015</v>
      </c>
      <c r="H22" s="74"/>
      <c r="I22" s="75">
        <v>108.51780195396768</v>
      </c>
      <c r="J22" s="76">
        <v>148.86724513541765</v>
      </c>
      <c r="K22" s="76">
        <v>189.21668831686759</v>
      </c>
      <c r="L22" s="76">
        <v>229.56613149831759</v>
      </c>
      <c r="M22" s="76">
        <v>269.91557467976753</v>
      </c>
      <c r="N22" s="77">
        <v>310.26501786121753</v>
      </c>
      <c r="O22" s="59"/>
      <c r="P22" s="76">
        <f t="shared" si="1"/>
        <v>-14.672524793254524</v>
      </c>
      <c r="Q22" s="76">
        <f t="shared" si="0"/>
        <v>-29.345049586509049</v>
      </c>
      <c r="R22" s="76">
        <f t="shared" si="0"/>
        <v>-44.017574379763573</v>
      </c>
      <c r="S22" s="76">
        <f t="shared" si="0"/>
        <v>-58.690099173018098</v>
      </c>
      <c r="T22" s="76">
        <f t="shared" si="0"/>
        <v>-73.362623966272622</v>
      </c>
    </row>
    <row r="23" spans="1:20" x14ac:dyDescent="0.45">
      <c r="A23" s="70">
        <v>355</v>
      </c>
      <c r="B23" s="71">
        <v>137.7829737023356</v>
      </c>
      <c r="C23" s="72">
        <v>207.64331209847538</v>
      </c>
      <c r="D23" s="72">
        <v>277.50365049461516</v>
      </c>
      <c r="E23" s="72">
        <v>347.36398889075497</v>
      </c>
      <c r="F23" s="72">
        <v>417.22432728689472</v>
      </c>
      <c r="G23" s="73">
        <v>487.08466568303453</v>
      </c>
      <c r="H23" s="74"/>
      <c r="I23" s="75">
        <v>137.7829737023356</v>
      </c>
      <c r="J23" s="76">
        <v>189.01388852617146</v>
      </c>
      <c r="K23" s="76">
        <v>240.24480335000729</v>
      </c>
      <c r="L23" s="76">
        <v>291.47571817384312</v>
      </c>
      <c r="M23" s="76">
        <v>342.70663299767898</v>
      </c>
      <c r="N23" s="77">
        <v>393.93754782151484</v>
      </c>
      <c r="O23" s="59"/>
      <c r="P23" s="76">
        <f t="shared" si="1"/>
        <v>-18.629423572303921</v>
      </c>
      <c r="Q23" s="76">
        <f t="shared" si="0"/>
        <v>-37.25884714460787</v>
      </c>
      <c r="R23" s="76">
        <f t="shared" si="0"/>
        <v>-55.888270716911848</v>
      </c>
      <c r="S23" s="76">
        <f t="shared" si="0"/>
        <v>-74.51769428921574</v>
      </c>
      <c r="T23" s="76">
        <f t="shared" si="0"/>
        <v>-93.147117861519689</v>
      </c>
    </row>
    <row r="24" spans="1:20" x14ac:dyDescent="0.45">
      <c r="A24" s="70">
        <v>400</v>
      </c>
      <c r="B24" s="71">
        <v>175.07602628409307</v>
      </c>
      <c r="C24" s="72">
        <v>263.84512534332521</v>
      </c>
      <c r="D24" s="72">
        <v>352.6142244025574</v>
      </c>
      <c r="E24" s="72">
        <v>441.38332346178953</v>
      </c>
      <c r="F24" s="72">
        <v>530.15242252102166</v>
      </c>
      <c r="G24" s="73">
        <v>618.92152158025374</v>
      </c>
      <c r="H24" s="74"/>
      <c r="I24" s="75">
        <v>175.07602628409307</v>
      </c>
      <c r="J24" s="76">
        <v>240.17336559419664</v>
      </c>
      <c r="K24" s="76">
        <v>305.27070490430026</v>
      </c>
      <c r="L24" s="76">
        <v>370.36804421440388</v>
      </c>
      <c r="M24" s="76">
        <v>435.46538352450739</v>
      </c>
      <c r="N24" s="77">
        <v>500.56272283461095</v>
      </c>
      <c r="O24" s="59"/>
      <c r="P24" s="76">
        <f t="shared" si="1"/>
        <v>-23.671759749128569</v>
      </c>
      <c r="Q24" s="76">
        <f t="shared" si="0"/>
        <v>-47.343519498257137</v>
      </c>
      <c r="R24" s="76">
        <f t="shared" si="0"/>
        <v>-71.015279247385649</v>
      </c>
      <c r="S24" s="76">
        <f t="shared" si="0"/>
        <v>-94.687038996514275</v>
      </c>
      <c r="T24" s="76">
        <f t="shared" si="0"/>
        <v>-118.35879874564279</v>
      </c>
    </row>
    <row r="25" spans="1:20" x14ac:dyDescent="0.45">
      <c r="A25" s="70">
        <v>450</v>
      </c>
      <c r="B25" s="71">
        <v>221.49681446557443</v>
      </c>
      <c r="C25" s="72">
        <v>333.80272568550129</v>
      </c>
      <c r="D25" s="72">
        <v>446.10863690542817</v>
      </c>
      <c r="E25" s="72">
        <v>558.41454812535505</v>
      </c>
      <c r="F25" s="72">
        <v>670.72045934528182</v>
      </c>
      <c r="G25" s="73">
        <v>783.02637056520871</v>
      </c>
      <c r="H25" s="74"/>
      <c r="I25" s="75">
        <v>221.49681446557443</v>
      </c>
      <c r="J25" s="76">
        <v>303.85448269352082</v>
      </c>
      <c r="K25" s="76">
        <v>386.21215092146718</v>
      </c>
      <c r="L25" s="76">
        <v>468.56981914941355</v>
      </c>
      <c r="M25" s="76">
        <v>550.92748737735997</v>
      </c>
      <c r="N25" s="77">
        <v>633.28515560530627</v>
      </c>
      <c r="O25" s="59"/>
      <c r="P25" s="76">
        <f t="shared" si="1"/>
        <v>-29.948242991980464</v>
      </c>
      <c r="Q25" s="76">
        <f t="shared" si="0"/>
        <v>-59.896485983960986</v>
      </c>
      <c r="R25" s="76">
        <f t="shared" si="0"/>
        <v>-89.844728975941507</v>
      </c>
      <c r="S25" s="76">
        <f t="shared" si="0"/>
        <v>-119.79297196792186</v>
      </c>
      <c r="T25" s="76">
        <f t="shared" si="0"/>
        <v>-149.74121495990244</v>
      </c>
    </row>
    <row r="26" spans="1:20" x14ac:dyDescent="0.45">
      <c r="A26" s="70">
        <v>500</v>
      </c>
      <c r="B26" s="71">
        <v>273.37012448364197</v>
      </c>
      <c r="C26" s="72">
        <v>411.97744939942254</v>
      </c>
      <c r="D26" s="72">
        <v>550.58477431520316</v>
      </c>
      <c r="E26" s="72">
        <v>689.19209923098379</v>
      </c>
      <c r="F26" s="72">
        <v>827.7994241467643</v>
      </c>
      <c r="G26" s="73">
        <v>966.4067490625448</v>
      </c>
      <c r="H26" s="74"/>
      <c r="I26" s="75">
        <v>273.37012448364197</v>
      </c>
      <c r="J26" s="76">
        <v>375.01549608854776</v>
      </c>
      <c r="K26" s="76">
        <v>476.6608676934535</v>
      </c>
      <c r="L26" s="76">
        <v>578.30623929835929</v>
      </c>
      <c r="M26" s="76">
        <v>679.95161090326508</v>
      </c>
      <c r="N26" s="77">
        <v>781.59698250817087</v>
      </c>
      <c r="O26" s="59"/>
      <c r="P26" s="76">
        <f t="shared" si="1"/>
        <v>-36.961953310874776</v>
      </c>
      <c r="Q26" s="76">
        <f t="shared" si="1"/>
        <v>-73.923906621749666</v>
      </c>
      <c r="R26" s="76">
        <f t="shared" si="1"/>
        <v>-110.8858599326245</v>
      </c>
      <c r="S26" s="76">
        <f t="shared" si="1"/>
        <v>-147.84781324349922</v>
      </c>
      <c r="T26" s="76">
        <f t="shared" si="1"/>
        <v>-184.80976655437394</v>
      </c>
    </row>
    <row r="27" spans="1:20" x14ac:dyDescent="0.45">
      <c r="A27" s="70">
        <v>560</v>
      </c>
      <c r="B27" s="71">
        <v>343.09340255341385</v>
      </c>
      <c r="C27" s="72">
        <v>517.05264120104221</v>
      </c>
      <c r="D27" s="72">
        <v>691.01187984867056</v>
      </c>
      <c r="E27" s="72">
        <v>864.97111849629891</v>
      </c>
      <c r="F27" s="72">
        <v>1038.9303571439273</v>
      </c>
      <c r="G27" s="73">
        <v>1212.8895957915558</v>
      </c>
      <c r="H27" s="74"/>
      <c r="I27" s="75">
        <v>343.09340255341385</v>
      </c>
      <c r="J27" s="76">
        <v>470.66351089500802</v>
      </c>
      <c r="K27" s="76">
        <v>598.23361923660218</v>
      </c>
      <c r="L27" s="76">
        <v>725.80372757819623</v>
      </c>
      <c r="M27" s="76">
        <v>853.37383591979051</v>
      </c>
      <c r="N27" s="77">
        <v>980.94394426138467</v>
      </c>
      <c r="O27" s="59"/>
      <c r="P27" s="76">
        <f t="shared" si="1"/>
        <v>-46.38913030603419</v>
      </c>
      <c r="Q27" s="76">
        <f t="shared" si="1"/>
        <v>-92.778260612068379</v>
      </c>
      <c r="R27" s="76">
        <f t="shared" si="1"/>
        <v>-139.16739091810268</v>
      </c>
      <c r="S27" s="76">
        <f t="shared" si="1"/>
        <v>-185.55652122413676</v>
      </c>
      <c r="T27" s="76">
        <f t="shared" si="1"/>
        <v>-231.94565153017118</v>
      </c>
    </row>
    <row r="28" spans="1:20" x14ac:dyDescent="0.45">
      <c r="A28" s="70">
        <v>630</v>
      </c>
      <c r="B28" s="71">
        <v>434.07120781587071</v>
      </c>
      <c r="C28" s="72">
        <v>654.15907971468869</v>
      </c>
      <c r="D28" s="72">
        <v>874.24695161350655</v>
      </c>
      <c r="E28" s="72">
        <v>1094.3348235123246</v>
      </c>
      <c r="F28" s="72">
        <v>1314.4226954111425</v>
      </c>
      <c r="G28" s="73">
        <v>1534.5105673099606</v>
      </c>
      <c r="H28" s="74"/>
      <c r="I28" s="75">
        <v>434.07120781587071</v>
      </c>
      <c r="J28" s="76">
        <v>595.46898054167059</v>
      </c>
      <c r="K28" s="76">
        <v>756.86675326747036</v>
      </c>
      <c r="L28" s="76">
        <v>918.26452599327035</v>
      </c>
      <c r="M28" s="76">
        <v>1079.6622987190701</v>
      </c>
      <c r="N28" s="77">
        <v>1241.0600714448701</v>
      </c>
      <c r="O28" s="59"/>
      <c r="P28" s="76">
        <f t="shared" si="1"/>
        <v>-58.690099173018098</v>
      </c>
      <c r="Q28" s="76">
        <f t="shared" si="1"/>
        <v>-117.3801983460362</v>
      </c>
      <c r="R28" s="76">
        <f t="shared" si="1"/>
        <v>-176.07029751905429</v>
      </c>
      <c r="S28" s="76">
        <f t="shared" si="1"/>
        <v>-234.76039669207239</v>
      </c>
      <c r="T28" s="76">
        <f t="shared" si="1"/>
        <v>-293.45049586509049</v>
      </c>
    </row>
    <row r="29" spans="1:20" x14ac:dyDescent="0.45">
      <c r="A29" s="70">
        <v>710</v>
      </c>
      <c r="B29" s="71">
        <v>551.48433725904817</v>
      </c>
      <c r="C29" s="72">
        <v>831.10439034573017</v>
      </c>
      <c r="D29" s="72">
        <v>1110.724443432412</v>
      </c>
      <c r="E29" s="72">
        <v>1390.3444965190943</v>
      </c>
      <c r="F29" s="72">
        <v>1669.964549605776</v>
      </c>
      <c r="G29" s="73">
        <v>1949.5846026924578</v>
      </c>
      <c r="H29" s="74"/>
      <c r="I29" s="75">
        <v>551.48433725904817</v>
      </c>
      <c r="J29" s="76">
        <v>756.53904285594831</v>
      </c>
      <c r="K29" s="76">
        <v>961.59374845284856</v>
      </c>
      <c r="L29" s="76">
        <v>1166.6484540497486</v>
      </c>
      <c r="M29" s="76">
        <v>1371.7031596466488</v>
      </c>
      <c r="N29" s="77">
        <v>1576.7578652435491</v>
      </c>
      <c r="O29" s="59"/>
      <c r="P29" s="76">
        <f t="shared" si="1"/>
        <v>-74.565347489781857</v>
      </c>
      <c r="Q29" s="76">
        <f t="shared" si="1"/>
        <v>-149.13069497956349</v>
      </c>
      <c r="R29" s="76">
        <f t="shared" si="1"/>
        <v>-223.69604246934568</v>
      </c>
      <c r="S29" s="76">
        <f t="shared" si="1"/>
        <v>-298.2613899591272</v>
      </c>
      <c r="T29" s="76">
        <f t="shared" si="1"/>
        <v>-372.82673744890872</v>
      </c>
    </row>
    <row r="30" spans="1:20" x14ac:dyDescent="0.45">
      <c r="A30" s="70">
        <v>800</v>
      </c>
      <c r="B30" s="71">
        <v>700.3041051363723</v>
      </c>
      <c r="C30" s="72">
        <v>1055.3805013733008</v>
      </c>
      <c r="D30" s="72">
        <v>1410.4568976102296</v>
      </c>
      <c r="E30" s="72">
        <v>1765.5332938471581</v>
      </c>
      <c r="F30" s="72">
        <v>2120.6096900840867</v>
      </c>
      <c r="G30" s="73">
        <v>2475.686086321015</v>
      </c>
      <c r="H30" s="74"/>
      <c r="I30" s="75">
        <v>700.3041051363723</v>
      </c>
      <c r="J30" s="76">
        <v>960.69346237678656</v>
      </c>
      <c r="K30" s="76">
        <v>1221.082819617201</v>
      </c>
      <c r="L30" s="76">
        <v>1481.4721768576155</v>
      </c>
      <c r="M30" s="76">
        <v>1741.8615340980296</v>
      </c>
      <c r="N30" s="77">
        <v>2002.2508913384438</v>
      </c>
      <c r="O30" s="59"/>
      <c r="P30" s="76">
        <f t="shared" si="1"/>
        <v>-94.687038996514275</v>
      </c>
      <c r="Q30" s="76">
        <f t="shared" si="1"/>
        <v>-189.37407799302855</v>
      </c>
      <c r="R30" s="76">
        <f t="shared" si="1"/>
        <v>-284.0611169895426</v>
      </c>
      <c r="S30" s="76">
        <f t="shared" si="1"/>
        <v>-378.7481559860571</v>
      </c>
      <c r="T30" s="76">
        <f t="shared" si="1"/>
        <v>-473.43519498257115</v>
      </c>
    </row>
    <row r="31" spans="1:20" x14ac:dyDescent="0.45">
      <c r="A31" s="70">
        <v>900</v>
      </c>
      <c r="B31" s="71">
        <v>886.43410554545494</v>
      </c>
      <c r="C31" s="72">
        <v>1335.8843163753525</v>
      </c>
      <c r="D31" s="72">
        <v>1785.33452720525</v>
      </c>
      <c r="E31" s="72">
        <v>2234.7847380351477</v>
      </c>
      <c r="F31" s="72">
        <v>2684.2349488650452</v>
      </c>
      <c r="G31" s="73">
        <v>3133.6851596949427</v>
      </c>
      <c r="H31" s="74"/>
      <c r="I31" s="75">
        <v>886.43410554545494</v>
      </c>
      <c r="J31" s="76">
        <v>1216.0309268207131</v>
      </c>
      <c r="K31" s="76">
        <v>1545.6277480959716</v>
      </c>
      <c r="L31" s="76">
        <v>1875.2245693712298</v>
      </c>
      <c r="M31" s="76">
        <v>2204.821390646488</v>
      </c>
      <c r="N31" s="77">
        <v>2534.4182119217458</v>
      </c>
      <c r="O31" s="59"/>
      <c r="P31" s="76">
        <f t="shared" si="1"/>
        <v>-119.85338955463931</v>
      </c>
      <c r="Q31" s="76">
        <f t="shared" si="1"/>
        <v>-239.70677910927839</v>
      </c>
      <c r="R31" s="76">
        <f t="shared" si="1"/>
        <v>-359.56016866391792</v>
      </c>
      <c r="S31" s="76">
        <f t="shared" si="1"/>
        <v>-479.41355821855723</v>
      </c>
      <c r="T31" s="76">
        <f t="shared" si="1"/>
        <v>-599.26694777319699</v>
      </c>
    </row>
    <row r="32" spans="1:20" x14ac:dyDescent="0.45">
      <c r="A32" s="70">
        <v>1000</v>
      </c>
      <c r="B32" s="71">
        <v>1093.9769139980579</v>
      </c>
      <c r="C32" s="72">
        <v>1648.6579123525994</v>
      </c>
      <c r="D32" s="72">
        <v>2203.3389107071407</v>
      </c>
      <c r="E32" s="72">
        <v>2758.019909061682</v>
      </c>
      <c r="F32" s="72">
        <v>3312.7009074162233</v>
      </c>
      <c r="G32" s="73">
        <v>3867.3819057707651</v>
      </c>
      <c r="H32" s="74"/>
      <c r="I32" s="75">
        <v>1093.9769139980579</v>
      </c>
      <c r="J32" s="76">
        <v>1500.7429794580548</v>
      </c>
      <c r="K32" s="76">
        <v>1907.509044918052</v>
      </c>
      <c r="L32" s="76">
        <v>2314.2751103780492</v>
      </c>
      <c r="M32" s="76">
        <v>2721.041175838046</v>
      </c>
      <c r="N32" s="77">
        <v>3127.8072412980437</v>
      </c>
      <c r="O32" s="59"/>
      <c r="P32" s="76">
        <f t="shared" si="1"/>
        <v>-147.91493289454456</v>
      </c>
      <c r="Q32" s="76">
        <f t="shared" si="1"/>
        <v>-295.82986578908867</v>
      </c>
      <c r="R32" s="76">
        <f t="shared" si="1"/>
        <v>-443.74479868363278</v>
      </c>
      <c r="S32" s="76">
        <f t="shared" si="1"/>
        <v>-591.65973157817734</v>
      </c>
      <c r="T32" s="76">
        <f t="shared" si="1"/>
        <v>-739.57466447272145</v>
      </c>
    </row>
    <row r="33" spans="1:20" ht="14.65" thickBot="1" x14ac:dyDescent="0.5">
      <c r="A33" s="78">
        <v>1200</v>
      </c>
      <c r="B33" s="79">
        <v>1575.6842365568368</v>
      </c>
      <c r="C33" s="80">
        <v>2374.6061280899257</v>
      </c>
      <c r="D33" s="80">
        <v>3173.5280196230142</v>
      </c>
      <c r="E33" s="80">
        <v>3972.4499111561031</v>
      </c>
      <c r="F33" s="80">
        <v>4771.371802689192</v>
      </c>
      <c r="G33" s="81">
        <v>5570.2936942222805</v>
      </c>
      <c r="H33" s="82"/>
      <c r="I33" s="83">
        <v>1575.6842365568368</v>
      </c>
      <c r="J33" s="84">
        <v>2161.5602903477688</v>
      </c>
      <c r="K33" s="84">
        <v>2747.4363441387004</v>
      </c>
      <c r="L33" s="84">
        <v>3333.3123979296324</v>
      </c>
      <c r="M33" s="84">
        <v>3919.1884517205644</v>
      </c>
      <c r="N33" s="85">
        <v>4505.0645055114956</v>
      </c>
      <c r="O33" s="59"/>
      <c r="P33" s="76">
        <f t="shared" si="1"/>
        <v>-213.04583774215689</v>
      </c>
      <c r="Q33" s="76">
        <f t="shared" si="1"/>
        <v>-426.09167548431378</v>
      </c>
      <c r="R33" s="76">
        <f t="shared" si="1"/>
        <v>-639.13751322647067</v>
      </c>
      <c r="S33" s="76">
        <f t="shared" si="1"/>
        <v>-852.18335096862756</v>
      </c>
      <c r="T33" s="76">
        <f t="shared" si="1"/>
        <v>-1065.2291887107849</v>
      </c>
    </row>
    <row r="35" spans="1:20" x14ac:dyDescent="0.45">
      <c r="C35" s="49">
        <f>C18/B18</f>
        <v>1.5070317218371632</v>
      </c>
      <c r="D35" s="49">
        <f t="shared" ref="D35:G35" si="2">D18/C18</f>
        <v>1.3364439609931107</v>
      </c>
      <c r="E35" s="49">
        <f t="shared" si="2"/>
        <v>1.2517456554954236</v>
      </c>
      <c r="F35" s="49">
        <f t="shared" si="2"/>
        <v>1.201115661468612</v>
      </c>
      <c r="G35" s="49">
        <f t="shared" si="2"/>
        <v>1.1674407119316939</v>
      </c>
      <c r="J35" s="49">
        <f>J18/I18</f>
        <v>1.3718232626805864</v>
      </c>
      <c r="K35" s="49">
        <f t="shared" ref="K35:N35" si="3">K18/J18</f>
        <v>1.2710431239910831</v>
      </c>
      <c r="L35" s="49">
        <f t="shared" si="3"/>
        <v>1.2132446325975204</v>
      </c>
      <c r="M35" s="49">
        <f t="shared" si="3"/>
        <v>1.1757639200438663</v>
      </c>
      <c r="N35" s="49">
        <f t="shared" si="3"/>
        <v>1.1494891253656674</v>
      </c>
    </row>
  </sheetData>
  <mergeCells count="13">
    <mergeCell ref="I1:N1"/>
    <mergeCell ref="B1:G1"/>
    <mergeCell ref="B2:C2"/>
    <mergeCell ref="I2:J2"/>
    <mergeCell ref="B3:C3"/>
    <mergeCell ref="I3:J3"/>
    <mergeCell ref="P4:T6"/>
    <mergeCell ref="B5:C5"/>
    <mergeCell ref="I5:J5"/>
    <mergeCell ref="B6:C6"/>
    <mergeCell ref="I6:J6"/>
    <mergeCell ref="B4:C4"/>
    <mergeCell ref="I4:J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5428B-019E-47F7-9AF4-F3FE038FDE2A}">
  <dimension ref="A1:V42"/>
  <sheetViews>
    <sheetView workbookViewId="0"/>
  </sheetViews>
  <sheetFormatPr defaultRowHeight="12.75" x14ac:dyDescent="0.35"/>
  <sheetData>
    <row r="1" spans="1:22" x14ac:dyDescent="0.35">
      <c r="I1" s="5" t="s">
        <v>25</v>
      </c>
    </row>
    <row r="2" spans="1:22" ht="13.15" thickBot="1" x14ac:dyDescent="0.4"/>
    <row r="3" spans="1:22" ht="13.15" thickBot="1" x14ac:dyDescent="0.4">
      <c r="B3" s="15" t="s">
        <v>10</v>
      </c>
      <c r="C3" s="17">
        <v>2.5</v>
      </c>
      <c r="D3" s="18">
        <v>2.5</v>
      </c>
      <c r="E3" s="16">
        <v>3.2</v>
      </c>
      <c r="F3" s="16">
        <v>3.2</v>
      </c>
      <c r="G3" s="18">
        <v>4</v>
      </c>
      <c r="H3" s="18">
        <v>4</v>
      </c>
      <c r="I3" s="16">
        <v>5</v>
      </c>
      <c r="J3" s="16">
        <v>5</v>
      </c>
      <c r="K3" s="18">
        <v>6.3</v>
      </c>
      <c r="L3" s="18">
        <v>6.3</v>
      </c>
      <c r="M3" s="16">
        <v>8</v>
      </c>
      <c r="N3" s="16">
        <v>8</v>
      </c>
      <c r="O3" s="18">
        <v>10</v>
      </c>
      <c r="P3" s="18">
        <v>10</v>
      </c>
      <c r="Q3" s="16">
        <v>12.5</v>
      </c>
      <c r="R3" s="16">
        <v>12.5</v>
      </c>
      <c r="S3" s="18">
        <v>16</v>
      </c>
      <c r="T3" s="18">
        <v>16</v>
      </c>
      <c r="U3" s="16">
        <v>20</v>
      </c>
      <c r="V3" s="16">
        <v>20</v>
      </c>
    </row>
    <row r="4" spans="1:22" ht="13.15" thickBot="1" x14ac:dyDescent="0.4">
      <c r="A4" s="14"/>
      <c r="B4" s="15" t="s">
        <v>0</v>
      </c>
      <c r="C4" s="17">
        <v>6</v>
      </c>
      <c r="D4" s="18">
        <v>6</v>
      </c>
      <c r="E4" s="16">
        <v>7.4</v>
      </c>
      <c r="F4" s="16">
        <v>7.4</v>
      </c>
      <c r="G4" s="18">
        <v>9</v>
      </c>
      <c r="H4" s="18">
        <v>9</v>
      </c>
      <c r="I4" s="16">
        <v>11</v>
      </c>
      <c r="J4" s="16">
        <v>11</v>
      </c>
      <c r="K4" s="18">
        <v>13.6</v>
      </c>
      <c r="L4" s="18">
        <v>13.6</v>
      </c>
      <c r="M4" s="16">
        <v>17</v>
      </c>
      <c r="N4" s="16">
        <v>17</v>
      </c>
      <c r="O4" s="18">
        <v>21</v>
      </c>
      <c r="P4" s="18">
        <v>21</v>
      </c>
      <c r="Q4" s="16">
        <v>26</v>
      </c>
      <c r="R4" s="16">
        <v>26</v>
      </c>
      <c r="S4" s="18">
        <v>33</v>
      </c>
      <c r="T4" s="18">
        <v>33</v>
      </c>
      <c r="U4" s="16">
        <v>41</v>
      </c>
      <c r="V4" s="16">
        <v>41</v>
      </c>
    </row>
    <row r="5" spans="1:22" ht="13.15" x14ac:dyDescent="0.4">
      <c r="A5" s="14" t="s">
        <v>11</v>
      </c>
      <c r="B5" s="8" t="s">
        <v>1</v>
      </c>
      <c r="C5" s="12" t="s">
        <v>8</v>
      </c>
      <c r="D5" s="10" t="s">
        <v>9</v>
      </c>
      <c r="E5" s="8" t="s">
        <v>8</v>
      </c>
      <c r="F5" s="8" t="s">
        <v>9</v>
      </c>
      <c r="G5" s="10" t="s">
        <v>8</v>
      </c>
      <c r="H5" s="10" t="s">
        <v>9</v>
      </c>
      <c r="I5" s="8" t="s">
        <v>8</v>
      </c>
      <c r="J5" s="8" t="s">
        <v>9</v>
      </c>
      <c r="K5" s="10" t="s">
        <v>8</v>
      </c>
      <c r="L5" s="10" t="s">
        <v>9</v>
      </c>
      <c r="M5" s="8" t="s">
        <v>8</v>
      </c>
      <c r="N5" s="8" t="s">
        <v>9</v>
      </c>
      <c r="O5" s="10" t="s">
        <v>8</v>
      </c>
      <c r="P5" s="10" t="s">
        <v>9</v>
      </c>
      <c r="Q5" s="8" t="s">
        <v>8</v>
      </c>
      <c r="R5" s="8" t="s">
        <v>9</v>
      </c>
      <c r="S5" s="10" t="s">
        <v>8</v>
      </c>
      <c r="T5" s="10" t="s">
        <v>9</v>
      </c>
      <c r="U5" s="8" t="s">
        <v>8</v>
      </c>
      <c r="V5" s="8" t="s">
        <v>9</v>
      </c>
    </row>
    <row r="6" spans="1:22" x14ac:dyDescent="0.35">
      <c r="A6" s="7"/>
      <c r="B6" s="7"/>
      <c r="C6" s="12" t="str">
        <f>C4&amp;C5</f>
        <v>6emin</v>
      </c>
      <c r="D6" s="10" t="str">
        <f t="shared" ref="D6:V6" si="0">D4&amp;D5</f>
        <v>6emax</v>
      </c>
      <c r="E6" s="9" t="str">
        <f t="shared" si="0"/>
        <v>7.4emin</v>
      </c>
      <c r="F6" s="9" t="str">
        <f t="shared" si="0"/>
        <v>7.4emax</v>
      </c>
      <c r="G6" s="10" t="str">
        <f t="shared" si="0"/>
        <v>9emin</v>
      </c>
      <c r="H6" s="10" t="str">
        <f t="shared" si="0"/>
        <v>9emax</v>
      </c>
      <c r="I6" s="9" t="str">
        <f t="shared" si="0"/>
        <v>11emin</v>
      </c>
      <c r="J6" s="9" t="str">
        <f t="shared" si="0"/>
        <v>11emax</v>
      </c>
      <c r="K6" s="10" t="str">
        <f t="shared" si="0"/>
        <v>13.6emin</v>
      </c>
      <c r="L6" s="10" t="str">
        <f t="shared" si="0"/>
        <v>13.6emax</v>
      </c>
      <c r="M6" s="9" t="str">
        <f t="shared" si="0"/>
        <v>17emin</v>
      </c>
      <c r="N6" s="9" t="str">
        <f t="shared" si="0"/>
        <v>17emax</v>
      </c>
      <c r="O6" s="10" t="str">
        <f t="shared" si="0"/>
        <v>21emin</v>
      </c>
      <c r="P6" s="10" t="str">
        <f t="shared" si="0"/>
        <v>21emax</v>
      </c>
      <c r="Q6" s="9" t="str">
        <f t="shared" si="0"/>
        <v>26emin</v>
      </c>
      <c r="R6" s="9" t="str">
        <f t="shared" si="0"/>
        <v>26emax</v>
      </c>
      <c r="S6" s="10" t="str">
        <f t="shared" si="0"/>
        <v>33emin</v>
      </c>
      <c r="T6" s="10" t="str">
        <f t="shared" si="0"/>
        <v>33emax</v>
      </c>
      <c r="U6" s="9" t="str">
        <f t="shared" si="0"/>
        <v>41emin</v>
      </c>
      <c r="V6" s="9" t="str">
        <f t="shared" si="0"/>
        <v>41emax</v>
      </c>
    </row>
    <row r="7" spans="1:22" x14ac:dyDescent="0.35">
      <c r="A7" s="6" t="s">
        <v>13</v>
      </c>
      <c r="B7" s="21">
        <v>16</v>
      </c>
      <c r="C7" s="13">
        <v>3</v>
      </c>
      <c r="D7" s="11">
        <v>3.4</v>
      </c>
      <c r="E7" s="6">
        <v>2.2999999999999998</v>
      </c>
      <c r="F7" s="6">
        <v>2.7</v>
      </c>
      <c r="G7" s="11">
        <v>2</v>
      </c>
      <c r="H7" s="11">
        <v>2.2999999999999998</v>
      </c>
      <c r="I7" s="6"/>
      <c r="J7" s="6"/>
      <c r="K7" s="11"/>
      <c r="L7" s="11"/>
      <c r="M7" s="6"/>
      <c r="N7" s="6"/>
      <c r="O7" s="11"/>
      <c r="P7" s="11"/>
      <c r="Q7" s="6"/>
      <c r="R7" s="6"/>
      <c r="S7" s="11"/>
      <c r="T7" s="11"/>
      <c r="U7" s="6"/>
      <c r="V7" s="6"/>
    </row>
    <row r="8" spans="1:22" x14ac:dyDescent="0.35">
      <c r="A8" s="6" t="s">
        <v>13</v>
      </c>
      <c r="B8" s="21">
        <v>20</v>
      </c>
      <c r="C8" s="13">
        <v>3.4</v>
      </c>
      <c r="D8" s="11">
        <v>3.9</v>
      </c>
      <c r="E8" s="6">
        <v>3</v>
      </c>
      <c r="F8" s="6">
        <v>3.4</v>
      </c>
      <c r="G8" s="11">
        <v>2.2999999999999998</v>
      </c>
      <c r="H8" s="11">
        <v>2.7</v>
      </c>
      <c r="I8" s="6">
        <v>2</v>
      </c>
      <c r="J8" s="6">
        <v>2.2999999999999998</v>
      </c>
      <c r="K8" s="11"/>
      <c r="L8" s="11"/>
      <c r="M8" s="6"/>
      <c r="N8" s="6"/>
      <c r="O8" s="11"/>
      <c r="P8" s="11"/>
      <c r="Q8" s="6"/>
      <c r="R8" s="6"/>
      <c r="S8" s="11"/>
      <c r="T8" s="11"/>
      <c r="U8" s="6"/>
      <c r="V8" s="6"/>
    </row>
    <row r="9" spans="1:22" x14ac:dyDescent="0.35">
      <c r="A9" s="6" t="s">
        <v>13</v>
      </c>
      <c r="B9" s="21">
        <v>25</v>
      </c>
      <c r="C9" s="13">
        <v>4.2</v>
      </c>
      <c r="D9" s="11">
        <v>4.8</v>
      </c>
      <c r="E9" s="6">
        <v>3.5</v>
      </c>
      <c r="F9" s="6">
        <v>4</v>
      </c>
      <c r="G9" s="11">
        <v>3</v>
      </c>
      <c r="H9" s="11">
        <v>3.4</v>
      </c>
      <c r="I9" s="6">
        <v>2.2999999999999998</v>
      </c>
      <c r="J9" s="6">
        <v>2.7</v>
      </c>
      <c r="K9" s="11">
        <v>2</v>
      </c>
      <c r="L9" s="11">
        <v>2.2999999999999998</v>
      </c>
      <c r="M9" s="6"/>
      <c r="N9" s="6"/>
      <c r="O9" s="11"/>
      <c r="P9" s="11"/>
      <c r="Q9" s="6"/>
      <c r="R9" s="6"/>
      <c r="S9" s="11"/>
      <c r="T9" s="11"/>
      <c r="U9" s="6"/>
      <c r="V9" s="6"/>
    </row>
    <row r="10" spans="1:22" x14ac:dyDescent="0.35">
      <c r="A10" s="6" t="s">
        <v>13</v>
      </c>
      <c r="B10" s="21">
        <v>32</v>
      </c>
      <c r="C10" s="13">
        <v>5.4</v>
      </c>
      <c r="D10" s="11">
        <v>6.1</v>
      </c>
      <c r="E10" s="6">
        <v>4.4000000000000004</v>
      </c>
      <c r="F10" s="6">
        <v>5</v>
      </c>
      <c r="G10" s="11">
        <v>3.6</v>
      </c>
      <c r="H10" s="11">
        <v>4.0999999999999996</v>
      </c>
      <c r="I10" s="6">
        <v>3</v>
      </c>
      <c r="J10" s="6">
        <v>3.4</v>
      </c>
      <c r="K10" s="11">
        <v>2.4</v>
      </c>
      <c r="L10" s="11">
        <v>2.8</v>
      </c>
      <c r="M10" s="6">
        <v>2</v>
      </c>
      <c r="N10" s="6">
        <v>2.2999999999999998</v>
      </c>
      <c r="O10" s="11"/>
      <c r="P10" s="11"/>
      <c r="Q10" s="6"/>
      <c r="R10" s="6"/>
      <c r="S10" s="11"/>
      <c r="T10" s="11"/>
      <c r="U10" s="6"/>
      <c r="V10" s="6"/>
    </row>
    <row r="11" spans="1:22" x14ac:dyDescent="0.35">
      <c r="A11" s="6" t="s">
        <v>13</v>
      </c>
      <c r="B11" s="21">
        <v>40</v>
      </c>
      <c r="C11" s="13">
        <v>6.7</v>
      </c>
      <c r="D11" s="11">
        <v>7.5</v>
      </c>
      <c r="E11" s="6">
        <v>5.5</v>
      </c>
      <c r="F11" s="6">
        <v>6.2</v>
      </c>
      <c r="G11" s="11">
        <v>4.5</v>
      </c>
      <c r="H11" s="11">
        <v>5.0999999999999996</v>
      </c>
      <c r="I11" s="6">
        <v>3.7</v>
      </c>
      <c r="J11" s="6">
        <v>4.2</v>
      </c>
      <c r="K11" s="11">
        <v>3</v>
      </c>
      <c r="L11" s="11">
        <v>3.5</v>
      </c>
      <c r="M11" s="6">
        <v>2.4</v>
      </c>
      <c r="N11" s="6">
        <v>2.8</v>
      </c>
      <c r="O11" s="11">
        <v>2</v>
      </c>
      <c r="P11" s="11">
        <v>2.2999999999999998</v>
      </c>
      <c r="Q11" s="6"/>
      <c r="R11" s="6"/>
      <c r="S11" s="11"/>
      <c r="T11" s="11"/>
      <c r="U11" s="6"/>
      <c r="V11" s="6"/>
    </row>
    <row r="12" spans="1:22" x14ac:dyDescent="0.35">
      <c r="A12" s="6" t="s">
        <v>13</v>
      </c>
      <c r="B12" s="21">
        <v>50</v>
      </c>
      <c r="C12" s="13">
        <v>8.3000000000000007</v>
      </c>
      <c r="D12" s="11">
        <v>9.3000000000000007</v>
      </c>
      <c r="E12" s="6">
        <v>6.9</v>
      </c>
      <c r="F12" s="6">
        <v>7.7</v>
      </c>
      <c r="G12" s="11">
        <v>5.6</v>
      </c>
      <c r="H12" s="11">
        <v>6.3</v>
      </c>
      <c r="I12" s="6">
        <v>4.5999999999999996</v>
      </c>
      <c r="J12" s="6">
        <v>5.2</v>
      </c>
      <c r="K12" s="11">
        <v>3.7</v>
      </c>
      <c r="L12" s="11">
        <v>4.2</v>
      </c>
      <c r="M12" s="6">
        <v>3</v>
      </c>
      <c r="N12" s="6">
        <v>3.4</v>
      </c>
      <c r="O12" s="11">
        <v>2.4</v>
      </c>
      <c r="P12" s="11">
        <v>2.8</v>
      </c>
      <c r="Q12" s="6">
        <v>2</v>
      </c>
      <c r="R12" s="6">
        <v>2.2999999999999998</v>
      </c>
      <c r="S12" s="11"/>
      <c r="T12" s="11"/>
      <c r="U12" s="6"/>
      <c r="V12" s="6"/>
    </row>
    <row r="13" spans="1:22" x14ac:dyDescent="0.35">
      <c r="A13" s="6" t="s">
        <v>12</v>
      </c>
      <c r="B13" s="21">
        <v>63</v>
      </c>
      <c r="C13" s="13">
        <v>10.5</v>
      </c>
      <c r="D13" s="11">
        <v>11.7</v>
      </c>
      <c r="E13" s="6">
        <v>8.6</v>
      </c>
      <c r="F13" s="6">
        <v>9.6</v>
      </c>
      <c r="G13" s="11">
        <v>7.1</v>
      </c>
      <c r="H13" s="11">
        <v>8</v>
      </c>
      <c r="I13" s="6">
        <v>5.8</v>
      </c>
      <c r="J13" s="6">
        <v>6.5</v>
      </c>
      <c r="K13" s="11">
        <v>4.7</v>
      </c>
      <c r="L13" s="11">
        <v>5.3</v>
      </c>
      <c r="M13" s="6">
        <v>3.8</v>
      </c>
      <c r="N13" s="6">
        <v>4.3</v>
      </c>
      <c r="O13" s="11">
        <v>3</v>
      </c>
      <c r="P13" s="11">
        <v>3.4</v>
      </c>
      <c r="Q13" s="6">
        <v>2.5</v>
      </c>
      <c r="R13" s="6">
        <v>2.9</v>
      </c>
      <c r="S13" s="11"/>
      <c r="T13" s="11"/>
      <c r="U13" s="6"/>
      <c r="V13" s="6"/>
    </row>
    <row r="14" spans="1:22" x14ac:dyDescent="0.35">
      <c r="A14" s="6" t="s">
        <v>13</v>
      </c>
      <c r="B14" s="21">
        <v>75</v>
      </c>
      <c r="C14" s="13">
        <v>12.5</v>
      </c>
      <c r="D14" s="11">
        <v>13.9</v>
      </c>
      <c r="E14" s="6">
        <v>10.3</v>
      </c>
      <c r="F14" s="6">
        <v>11.5</v>
      </c>
      <c r="G14" s="11">
        <v>8.4</v>
      </c>
      <c r="H14" s="11">
        <v>9.4</v>
      </c>
      <c r="I14" s="6">
        <v>6.8</v>
      </c>
      <c r="J14" s="6">
        <v>7.6</v>
      </c>
      <c r="K14" s="11">
        <v>5.6</v>
      </c>
      <c r="L14" s="11">
        <v>6.3</v>
      </c>
      <c r="M14" s="6">
        <v>4.5</v>
      </c>
      <c r="N14" s="6">
        <v>5.0999999999999996</v>
      </c>
      <c r="O14" s="11">
        <v>3.6</v>
      </c>
      <c r="P14" s="11">
        <v>4.0999999999999996</v>
      </c>
      <c r="Q14" s="6">
        <v>2.9</v>
      </c>
      <c r="R14" s="6">
        <v>3.3</v>
      </c>
      <c r="S14" s="11"/>
      <c r="T14" s="11"/>
      <c r="U14" s="6"/>
      <c r="V14" s="6"/>
    </row>
    <row r="15" spans="1:22" x14ac:dyDescent="0.35">
      <c r="A15" s="6" t="s">
        <v>12</v>
      </c>
      <c r="B15" s="21">
        <v>90</v>
      </c>
      <c r="C15" s="13">
        <v>15</v>
      </c>
      <c r="D15" s="11">
        <v>16.7</v>
      </c>
      <c r="E15" s="6">
        <v>12.3</v>
      </c>
      <c r="F15" s="6">
        <v>13.7</v>
      </c>
      <c r="G15" s="11">
        <v>10.1</v>
      </c>
      <c r="H15" s="11">
        <v>11.3</v>
      </c>
      <c r="I15" s="6">
        <v>8.1999999999999993</v>
      </c>
      <c r="J15" s="6">
        <v>9.1999999999999993</v>
      </c>
      <c r="K15" s="11">
        <v>6.7</v>
      </c>
      <c r="L15" s="11">
        <v>7.5</v>
      </c>
      <c r="M15" s="6">
        <v>5.4</v>
      </c>
      <c r="N15" s="6">
        <v>6.1</v>
      </c>
      <c r="O15" s="11">
        <v>4.3</v>
      </c>
      <c r="P15" s="11">
        <v>4.9000000000000004</v>
      </c>
      <c r="Q15" s="6">
        <v>3.5</v>
      </c>
      <c r="R15" s="6">
        <v>4</v>
      </c>
      <c r="S15" s="11"/>
      <c r="T15" s="11"/>
      <c r="U15" s="6"/>
      <c r="V15" s="6"/>
    </row>
    <row r="16" spans="1:22" x14ac:dyDescent="0.35">
      <c r="A16" s="6" t="s">
        <v>12</v>
      </c>
      <c r="B16" s="21">
        <v>110</v>
      </c>
      <c r="C16" s="13">
        <v>18.3</v>
      </c>
      <c r="D16" s="11">
        <v>20.3</v>
      </c>
      <c r="E16" s="6">
        <v>15.1</v>
      </c>
      <c r="F16" s="6">
        <v>16.8</v>
      </c>
      <c r="G16" s="11">
        <v>12.3</v>
      </c>
      <c r="H16" s="11">
        <v>13.7</v>
      </c>
      <c r="I16" s="6">
        <v>10</v>
      </c>
      <c r="J16" s="6">
        <v>11.1</v>
      </c>
      <c r="K16" s="11">
        <v>8.1</v>
      </c>
      <c r="L16" s="11">
        <v>9.1</v>
      </c>
      <c r="M16" s="6">
        <v>6.6</v>
      </c>
      <c r="N16" s="6">
        <v>7.4</v>
      </c>
      <c r="O16" s="11">
        <v>5.3</v>
      </c>
      <c r="P16" s="11">
        <v>6</v>
      </c>
      <c r="Q16" s="6">
        <v>4.2</v>
      </c>
      <c r="R16" s="6">
        <v>4.8</v>
      </c>
      <c r="S16" s="11"/>
      <c r="T16" s="11"/>
      <c r="U16" s="6"/>
      <c r="V16" s="6"/>
    </row>
    <row r="17" spans="1:22" x14ac:dyDescent="0.35">
      <c r="A17" s="6" t="s">
        <v>12</v>
      </c>
      <c r="B17" s="21">
        <v>125</v>
      </c>
      <c r="C17" s="13">
        <v>20.8</v>
      </c>
      <c r="D17" s="11">
        <v>23</v>
      </c>
      <c r="E17" s="6">
        <v>17.100000000000001</v>
      </c>
      <c r="F17" s="6">
        <v>19</v>
      </c>
      <c r="G17" s="11">
        <v>14</v>
      </c>
      <c r="H17" s="11">
        <v>15.6</v>
      </c>
      <c r="I17" s="6">
        <v>11.4</v>
      </c>
      <c r="J17" s="6">
        <v>12.7</v>
      </c>
      <c r="K17" s="11">
        <v>9.1999999999999993</v>
      </c>
      <c r="L17" s="11">
        <v>10.3</v>
      </c>
      <c r="M17" s="6">
        <v>7.4</v>
      </c>
      <c r="N17" s="6">
        <v>8.3000000000000007</v>
      </c>
      <c r="O17" s="11">
        <v>6</v>
      </c>
      <c r="P17" s="11">
        <v>6.7</v>
      </c>
      <c r="Q17" s="6">
        <v>4.8</v>
      </c>
      <c r="R17" s="6">
        <v>5.4</v>
      </c>
      <c r="S17" s="11"/>
      <c r="T17" s="11"/>
      <c r="U17" s="6"/>
      <c r="V17" s="6"/>
    </row>
    <row r="18" spans="1:22" x14ac:dyDescent="0.35">
      <c r="A18" s="6" t="s">
        <v>13</v>
      </c>
      <c r="B18" s="21">
        <v>140</v>
      </c>
      <c r="C18" s="13">
        <v>23.3</v>
      </c>
      <c r="D18" s="11">
        <v>25.8</v>
      </c>
      <c r="E18" s="6">
        <v>19.2</v>
      </c>
      <c r="F18" s="6">
        <v>21.3</v>
      </c>
      <c r="G18" s="11">
        <v>15.7</v>
      </c>
      <c r="H18" s="11">
        <v>17.399999999999999</v>
      </c>
      <c r="I18" s="6">
        <v>12.7</v>
      </c>
      <c r="J18" s="6">
        <v>14.1</v>
      </c>
      <c r="K18" s="11">
        <v>10.3</v>
      </c>
      <c r="L18" s="11">
        <v>11.5</v>
      </c>
      <c r="M18" s="6">
        <v>8.3000000000000007</v>
      </c>
      <c r="N18" s="6">
        <v>9.3000000000000007</v>
      </c>
      <c r="O18" s="11">
        <v>6.7</v>
      </c>
      <c r="P18" s="11">
        <v>7.5</v>
      </c>
      <c r="Q18" s="6">
        <v>5.4</v>
      </c>
      <c r="R18" s="6">
        <v>6.1</v>
      </c>
      <c r="S18" s="11"/>
      <c r="T18" s="11"/>
      <c r="U18" s="6"/>
      <c r="V18" s="6"/>
    </row>
    <row r="19" spans="1:22" x14ac:dyDescent="0.35">
      <c r="A19" s="6" t="s">
        <v>12</v>
      </c>
      <c r="B19" s="21">
        <v>160</v>
      </c>
      <c r="C19" s="13">
        <v>26.6</v>
      </c>
      <c r="D19" s="11">
        <v>29.4</v>
      </c>
      <c r="E19" s="6">
        <v>21.9</v>
      </c>
      <c r="F19" s="6">
        <v>24.2</v>
      </c>
      <c r="G19" s="11">
        <v>17.899999999999999</v>
      </c>
      <c r="H19" s="11">
        <v>19.8</v>
      </c>
      <c r="I19" s="6">
        <v>14.6</v>
      </c>
      <c r="J19" s="6">
        <v>16.2</v>
      </c>
      <c r="K19" s="11">
        <v>11.8</v>
      </c>
      <c r="L19" s="11">
        <v>13.1</v>
      </c>
      <c r="M19" s="6">
        <v>9.5</v>
      </c>
      <c r="N19" s="6">
        <v>10.6</v>
      </c>
      <c r="O19" s="11">
        <v>7.7</v>
      </c>
      <c r="P19" s="11">
        <v>8.6</v>
      </c>
      <c r="Q19" s="6">
        <v>6.2</v>
      </c>
      <c r="R19" s="6">
        <v>7</v>
      </c>
      <c r="S19" s="11"/>
      <c r="T19" s="11"/>
      <c r="U19" s="6"/>
      <c r="V19" s="6"/>
    </row>
    <row r="20" spans="1:22" x14ac:dyDescent="0.35">
      <c r="A20" s="6" t="s">
        <v>12</v>
      </c>
      <c r="B20" s="21">
        <v>180</v>
      </c>
      <c r="C20" s="13">
        <v>29.9</v>
      </c>
      <c r="D20" s="11">
        <v>33</v>
      </c>
      <c r="E20" s="6">
        <v>24.6</v>
      </c>
      <c r="F20" s="6">
        <v>27.2</v>
      </c>
      <c r="G20" s="11">
        <v>20.100000000000001</v>
      </c>
      <c r="H20" s="11">
        <v>22.3</v>
      </c>
      <c r="I20" s="6">
        <v>16.399999999999999</v>
      </c>
      <c r="J20" s="6">
        <v>18.2</v>
      </c>
      <c r="K20" s="11">
        <v>13.3</v>
      </c>
      <c r="L20" s="11">
        <v>14.8</v>
      </c>
      <c r="M20" s="6">
        <v>10.7</v>
      </c>
      <c r="N20" s="6">
        <v>11.9</v>
      </c>
      <c r="O20" s="11">
        <v>8.6</v>
      </c>
      <c r="P20" s="11">
        <v>9.6</v>
      </c>
      <c r="Q20" s="6">
        <v>6.9</v>
      </c>
      <c r="R20" s="6">
        <v>7.7</v>
      </c>
      <c r="S20" s="11"/>
      <c r="T20" s="11"/>
      <c r="U20" s="6"/>
      <c r="V20" s="6"/>
    </row>
    <row r="21" spans="1:22" x14ac:dyDescent="0.35">
      <c r="A21" s="6" t="s">
        <v>13</v>
      </c>
      <c r="B21" s="21">
        <v>200</v>
      </c>
      <c r="C21" s="13">
        <v>33.200000000000003</v>
      </c>
      <c r="D21" s="11">
        <v>36.700000000000003</v>
      </c>
      <c r="E21" s="6">
        <v>27.4</v>
      </c>
      <c r="F21" s="6">
        <v>30.3</v>
      </c>
      <c r="G21" s="11">
        <v>22.4</v>
      </c>
      <c r="H21" s="11">
        <v>24.8</v>
      </c>
      <c r="I21" s="6">
        <v>18.2</v>
      </c>
      <c r="J21" s="6">
        <v>20.2</v>
      </c>
      <c r="K21" s="11">
        <v>14.7</v>
      </c>
      <c r="L21" s="11">
        <v>16.3</v>
      </c>
      <c r="M21" s="6">
        <v>11.9</v>
      </c>
      <c r="N21" s="6">
        <v>13.2</v>
      </c>
      <c r="O21" s="11">
        <v>9.6</v>
      </c>
      <c r="P21" s="11">
        <v>10.7</v>
      </c>
      <c r="Q21" s="6">
        <v>7.7</v>
      </c>
      <c r="R21" s="6">
        <v>8.6</v>
      </c>
      <c r="S21" s="11"/>
      <c r="T21" s="11"/>
      <c r="U21" s="6"/>
      <c r="V21" s="6"/>
    </row>
    <row r="22" spans="1:22" x14ac:dyDescent="0.35">
      <c r="A22" s="6" t="s">
        <v>12</v>
      </c>
      <c r="B22" s="21">
        <v>225</v>
      </c>
      <c r="C22" s="13">
        <v>37.4</v>
      </c>
      <c r="D22" s="11">
        <v>41.3</v>
      </c>
      <c r="E22" s="6">
        <v>30.8</v>
      </c>
      <c r="F22" s="6">
        <v>34</v>
      </c>
      <c r="G22" s="11">
        <v>25.2</v>
      </c>
      <c r="H22" s="11">
        <v>27.9</v>
      </c>
      <c r="I22" s="6">
        <v>20.5</v>
      </c>
      <c r="J22" s="6">
        <v>22.7</v>
      </c>
      <c r="K22" s="11">
        <v>16.600000000000001</v>
      </c>
      <c r="L22" s="11">
        <v>18.399999999999999</v>
      </c>
      <c r="M22" s="6">
        <v>13.4</v>
      </c>
      <c r="N22" s="6">
        <v>14.9</v>
      </c>
      <c r="O22" s="11">
        <v>10.8</v>
      </c>
      <c r="P22" s="11">
        <v>12</v>
      </c>
      <c r="Q22" s="6">
        <v>8.6</v>
      </c>
      <c r="R22" s="6">
        <v>9.6</v>
      </c>
      <c r="S22" s="11"/>
      <c r="T22" s="11"/>
      <c r="U22" s="6"/>
      <c r="V22" s="6"/>
    </row>
    <row r="23" spans="1:22" x14ac:dyDescent="0.35">
      <c r="A23" s="6" t="s">
        <v>12</v>
      </c>
      <c r="B23" s="21">
        <v>250</v>
      </c>
      <c r="C23" s="13">
        <v>41.5</v>
      </c>
      <c r="D23" s="11">
        <v>45.8</v>
      </c>
      <c r="E23" s="6">
        <v>34.200000000000003</v>
      </c>
      <c r="F23" s="6">
        <v>37.799999999999997</v>
      </c>
      <c r="G23" s="11">
        <v>27.9</v>
      </c>
      <c r="H23" s="11">
        <v>30.8</v>
      </c>
      <c r="I23" s="6">
        <v>22.7</v>
      </c>
      <c r="J23" s="6">
        <v>25.1</v>
      </c>
      <c r="K23" s="11">
        <v>18.399999999999999</v>
      </c>
      <c r="L23" s="11">
        <v>20.399999999999999</v>
      </c>
      <c r="M23" s="6">
        <v>14.8</v>
      </c>
      <c r="N23" s="6">
        <v>16.399999999999999</v>
      </c>
      <c r="O23" s="11">
        <v>11.9</v>
      </c>
      <c r="P23" s="11">
        <v>13.2</v>
      </c>
      <c r="Q23" s="6">
        <v>9.6</v>
      </c>
      <c r="R23" s="6">
        <v>10.7</v>
      </c>
      <c r="S23" s="11"/>
      <c r="T23" s="11"/>
      <c r="U23" s="6"/>
      <c r="V23" s="6"/>
    </row>
    <row r="24" spans="1:22" x14ac:dyDescent="0.35">
      <c r="A24" s="6" t="s">
        <v>12</v>
      </c>
      <c r="B24" s="21">
        <v>280</v>
      </c>
      <c r="C24" s="13">
        <v>46.5</v>
      </c>
      <c r="D24" s="11">
        <v>51.3</v>
      </c>
      <c r="E24" s="6">
        <v>38.299999999999997</v>
      </c>
      <c r="F24" s="6">
        <v>42.3</v>
      </c>
      <c r="G24" s="11">
        <v>31.3</v>
      </c>
      <c r="H24" s="11">
        <v>34.6</v>
      </c>
      <c r="I24" s="6">
        <v>25.4</v>
      </c>
      <c r="J24" s="6">
        <v>28.1</v>
      </c>
      <c r="K24" s="11">
        <v>20.6</v>
      </c>
      <c r="L24" s="11">
        <v>22.8</v>
      </c>
      <c r="M24" s="6">
        <v>16.600000000000001</v>
      </c>
      <c r="N24" s="6">
        <v>18.399999999999999</v>
      </c>
      <c r="O24" s="11">
        <v>13.4</v>
      </c>
      <c r="P24" s="11">
        <v>14.9</v>
      </c>
      <c r="Q24" s="6">
        <v>10.7</v>
      </c>
      <c r="R24" s="6">
        <v>11.9</v>
      </c>
      <c r="S24" s="11"/>
      <c r="T24" s="11"/>
      <c r="U24" s="6"/>
      <c r="V24" s="6"/>
    </row>
    <row r="25" spans="1:22" x14ac:dyDescent="0.35">
      <c r="A25" s="6" t="s">
        <v>12</v>
      </c>
      <c r="B25" s="21">
        <v>315</v>
      </c>
      <c r="C25" s="13">
        <v>52.3</v>
      </c>
      <c r="D25" s="11">
        <v>57.7</v>
      </c>
      <c r="E25" s="6">
        <v>43.1</v>
      </c>
      <c r="F25" s="6">
        <v>47.6</v>
      </c>
      <c r="G25" s="11">
        <v>35.200000000000003</v>
      </c>
      <c r="H25" s="11">
        <v>38.9</v>
      </c>
      <c r="I25" s="6">
        <v>28.6</v>
      </c>
      <c r="J25" s="6">
        <v>31.6</v>
      </c>
      <c r="K25" s="11">
        <v>23.2</v>
      </c>
      <c r="L25" s="11">
        <v>25.7</v>
      </c>
      <c r="M25" s="6">
        <v>18.7</v>
      </c>
      <c r="N25" s="6">
        <v>20.7</v>
      </c>
      <c r="O25" s="11">
        <v>15</v>
      </c>
      <c r="P25" s="11">
        <v>16.600000000000001</v>
      </c>
      <c r="Q25" s="6">
        <v>12.1</v>
      </c>
      <c r="R25" s="6">
        <v>13.5</v>
      </c>
      <c r="S25" s="11">
        <v>9.6999999999999993</v>
      </c>
      <c r="T25" s="11">
        <v>10.8</v>
      </c>
      <c r="U25" s="6">
        <v>7.7</v>
      </c>
      <c r="V25" s="6">
        <v>8.6</v>
      </c>
    </row>
    <row r="26" spans="1:22" x14ac:dyDescent="0.35">
      <c r="A26" s="6" t="s">
        <v>12</v>
      </c>
      <c r="B26" s="21">
        <v>355</v>
      </c>
      <c r="C26" s="13">
        <v>59</v>
      </c>
      <c r="D26" s="11">
        <v>65</v>
      </c>
      <c r="E26" s="6">
        <v>48.5</v>
      </c>
      <c r="F26" s="6">
        <v>53.5</v>
      </c>
      <c r="G26" s="11">
        <v>39.700000000000003</v>
      </c>
      <c r="H26" s="11">
        <v>43.8</v>
      </c>
      <c r="I26" s="6">
        <v>32.200000000000003</v>
      </c>
      <c r="J26" s="6">
        <v>35.6</v>
      </c>
      <c r="K26" s="11">
        <v>26.1</v>
      </c>
      <c r="L26" s="11">
        <v>28.9</v>
      </c>
      <c r="M26" s="6">
        <v>21.1</v>
      </c>
      <c r="N26" s="6">
        <v>23.4</v>
      </c>
      <c r="O26" s="11">
        <v>16.899999999999999</v>
      </c>
      <c r="P26" s="11">
        <v>18.7</v>
      </c>
      <c r="Q26" s="6">
        <v>13.6</v>
      </c>
      <c r="R26" s="6">
        <v>15.1</v>
      </c>
      <c r="S26" s="11">
        <v>10.9</v>
      </c>
      <c r="T26" s="11">
        <v>12.1</v>
      </c>
      <c r="U26" s="6">
        <v>8.6999999999999993</v>
      </c>
      <c r="V26" s="6">
        <v>9.6999999999999993</v>
      </c>
    </row>
    <row r="27" spans="1:22" x14ac:dyDescent="0.35">
      <c r="A27" s="6" t="s">
        <v>12</v>
      </c>
      <c r="B27" s="21">
        <v>400</v>
      </c>
      <c r="C27" s="13"/>
      <c r="D27" s="11"/>
      <c r="E27" s="6">
        <v>54.7</v>
      </c>
      <c r="F27" s="6">
        <v>60.3</v>
      </c>
      <c r="G27" s="11">
        <v>44.7</v>
      </c>
      <c r="H27" s="11">
        <v>49.3</v>
      </c>
      <c r="I27" s="6">
        <v>36.299999999999997</v>
      </c>
      <c r="J27" s="6">
        <v>40.1</v>
      </c>
      <c r="K27" s="11">
        <v>29.4</v>
      </c>
      <c r="L27" s="11">
        <v>32.5</v>
      </c>
      <c r="M27" s="6">
        <v>23.7</v>
      </c>
      <c r="N27" s="6">
        <v>26.2</v>
      </c>
      <c r="O27" s="11">
        <v>19.100000000000001</v>
      </c>
      <c r="P27" s="11">
        <v>21.2</v>
      </c>
      <c r="Q27" s="6">
        <v>15.3</v>
      </c>
      <c r="R27" s="6">
        <v>17</v>
      </c>
      <c r="S27" s="11">
        <v>12.3</v>
      </c>
      <c r="T27" s="11">
        <v>13.7</v>
      </c>
      <c r="U27" s="6">
        <v>9.8000000000000007</v>
      </c>
      <c r="V27" s="6">
        <v>10.9</v>
      </c>
    </row>
    <row r="28" spans="1:22" x14ac:dyDescent="0.35">
      <c r="A28" s="6" t="s">
        <v>13</v>
      </c>
      <c r="B28" s="21">
        <v>450</v>
      </c>
      <c r="C28" s="13"/>
      <c r="D28" s="11"/>
      <c r="E28" s="6">
        <v>61.5</v>
      </c>
      <c r="F28" s="6">
        <v>67.8</v>
      </c>
      <c r="G28" s="11">
        <v>50.3</v>
      </c>
      <c r="H28" s="11">
        <v>55.5</v>
      </c>
      <c r="I28" s="6">
        <v>40.9</v>
      </c>
      <c r="J28" s="6">
        <v>45.1</v>
      </c>
      <c r="K28" s="11">
        <v>33.1</v>
      </c>
      <c r="L28" s="11">
        <v>36.6</v>
      </c>
      <c r="M28" s="6">
        <v>26.7</v>
      </c>
      <c r="N28" s="6">
        <v>29.5</v>
      </c>
      <c r="O28" s="11">
        <v>21.5</v>
      </c>
      <c r="P28" s="11">
        <v>23.8</v>
      </c>
      <c r="Q28" s="6">
        <v>17.2</v>
      </c>
      <c r="R28" s="6">
        <v>19.100000000000001</v>
      </c>
      <c r="S28" s="11">
        <v>13.8</v>
      </c>
      <c r="T28" s="11">
        <v>15.3</v>
      </c>
      <c r="U28" s="6">
        <v>11</v>
      </c>
      <c r="V28" s="6">
        <v>12.2</v>
      </c>
    </row>
    <row r="29" spans="1:22" x14ac:dyDescent="0.35">
      <c r="A29" s="6" t="s">
        <v>12</v>
      </c>
      <c r="B29" s="21">
        <v>500</v>
      </c>
      <c r="C29" s="13"/>
      <c r="D29" s="11"/>
      <c r="E29" s="6"/>
      <c r="F29" s="6"/>
      <c r="G29" s="11">
        <v>55.8</v>
      </c>
      <c r="H29" s="11">
        <v>61.5</v>
      </c>
      <c r="I29" s="6">
        <v>45.4</v>
      </c>
      <c r="J29" s="6">
        <v>50.1</v>
      </c>
      <c r="K29" s="11">
        <v>36.799999999999997</v>
      </c>
      <c r="L29" s="11">
        <v>40.6</v>
      </c>
      <c r="M29" s="6">
        <v>29.7</v>
      </c>
      <c r="N29" s="6">
        <v>32.799999999999997</v>
      </c>
      <c r="O29" s="11">
        <v>23.9</v>
      </c>
      <c r="P29" s="11">
        <v>26.4</v>
      </c>
      <c r="Q29" s="6">
        <v>19.100000000000001</v>
      </c>
      <c r="R29" s="6">
        <v>21.2</v>
      </c>
      <c r="S29" s="11">
        <v>15.3</v>
      </c>
      <c r="T29" s="11">
        <v>17</v>
      </c>
      <c r="U29" s="6">
        <v>12.3</v>
      </c>
      <c r="V29" s="6">
        <v>13.7</v>
      </c>
    </row>
    <row r="30" spans="1:22" x14ac:dyDescent="0.35">
      <c r="A30" s="6" t="s">
        <v>12</v>
      </c>
      <c r="B30" s="21">
        <v>560</v>
      </c>
      <c r="C30" s="13"/>
      <c r="D30" s="11"/>
      <c r="E30" s="6"/>
      <c r="F30" s="6"/>
      <c r="G30" s="11">
        <v>62.5</v>
      </c>
      <c r="H30" s="11">
        <v>68.900000000000006</v>
      </c>
      <c r="I30" s="6">
        <v>50.8</v>
      </c>
      <c r="J30" s="6">
        <v>56</v>
      </c>
      <c r="K30" s="11">
        <v>41.2</v>
      </c>
      <c r="L30" s="11">
        <v>45.5</v>
      </c>
      <c r="M30" s="6">
        <v>33.200000000000003</v>
      </c>
      <c r="N30" s="6">
        <v>36.700000000000003</v>
      </c>
      <c r="O30" s="11">
        <v>26.7</v>
      </c>
      <c r="P30" s="11">
        <v>29.5</v>
      </c>
      <c r="Q30" s="6">
        <v>21.4</v>
      </c>
      <c r="R30" s="6">
        <v>23.7</v>
      </c>
      <c r="S30" s="11">
        <v>17.2</v>
      </c>
      <c r="T30" s="11">
        <v>19.100000000000001</v>
      </c>
      <c r="U30" s="6">
        <v>13.7</v>
      </c>
      <c r="V30" s="6">
        <v>15.2</v>
      </c>
    </row>
    <row r="31" spans="1:22" x14ac:dyDescent="0.35">
      <c r="A31" s="6" t="s">
        <v>12</v>
      </c>
      <c r="B31" s="21">
        <v>630</v>
      </c>
      <c r="C31" s="13"/>
      <c r="D31" s="11"/>
      <c r="E31" s="6"/>
      <c r="F31" s="6"/>
      <c r="G31" s="11">
        <v>70.3</v>
      </c>
      <c r="H31" s="11">
        <v>77.5</v>
      </c>
      <c r="I31" s="6">
        <v>57.2</v>
      </c>
      <c r="J31" s="6">
        <v>63.1</v>
      </c>
      <c r="K31" s="11">
        <v>46.3</v>
      </c>
      <c r="L31" s="11">
        <v>51.1</v>
      </c>
      <c r="M31" s="6">
        <v>37.4</v>
      </c>
      <c r="N31" s="6">
        <v>41.3</v>
      </c>
      <c r="O31" s="11">
        <v>30</v>
      </c>
      <c r="P31" s="11">
        <v>33.1</v>
      </c>
      <c r="Q31" s="6">
        <v>24.1</v>
      </c>
      <c r="R31" s="6">
        <v>26.7</v>
      </c>
      <c r="S31" s="11">
        <v>19.3</v>
      </c>
      <c r="T31" s="11">
        <v>21.4</v>
      </c>
      <c r="U31" s="6">
        <v>15.4</v>
      </c>
      <c r="V31" s="6">
        <v>17.100000000000001</v>
      </c>
    </row>
    <row r="32" spans="1:22" x14ac:dyDescent="0.35">
      <c r="A32" s="6" t="s">
        <v>12</v>
      </c>
      <c r="B32" s="21">
        <v>710</v>
      </c>
      <c r="C32" s="13"/>
      <c r="D32" s="11"/>
      <c r="E32" s="6"/>
      <c r="F32" s="6"/>
      <c r="G32" s="11">
        <v>79.3</v>
      </c>
      <c r="H32" s="11">
        <v>87.4</v>
      </c>
      <c r="I32" s="6">
        <v>64.5</v>
      </c>
      <c r="J32" s="6">
        <v>71.099999999999994</v>
      </c>
      <c r="K32" s="11">
        <v>52.2</v>
      </c>
      <c r="L32" s="11">
        <v>57.6</v>
      </c>
      <c r="M32" s="6">
        <v>42.1</v>
      </c>
      <c r="N32" s="6">
        <v>46.5</v>
      </c>
      <c r="O32" s="11">
        <v>33.9</v>
      </c>
      <c r="P32" s="11">
        <v>37.4</v>
      </c>
      <c r="Q32" s="6">
        <v>27.2</v>
      </c>
      <c r="R32" s="6">
        <v>30.1</v>
      </c>
      <c r="S32" s="11">
        <v>21.8</v>
      </c>
      <c r="T32" s="11">
        <v>24.1</v>
      </c>
      <c r="U32" s="6">
        <v>17.399999999999999</v>
      </c>
      <c r="V32" s="6">
        <v>19.3</v>
      </c>
    </row>
    <row r="33" spans="1:22" x14ac:dyDescent="0.35">
      <c r="A33" s="6" t="s">
        <v>12</v>
      </c>
      <c r="B33" s="21">
        <v>800</v>
      </c>
      <c r="C33" s="13"/>
      <c r="D33" s="11"/>
      <c r="E33" s="6"/>
      <c r="F33" s="6"/>
      <c r="G33" s="11">
        <v>89.3</v>
      </c>
      <c r="H33" s="11">
        <v>98.4</v>
      </c>
      <c r="I33" s="6">
        <v>72.599999999999994</v>
      </c>
      <c r="J33" s="6">
        <v>80</v>
      </c>
      <c r="K33" s="11">
        <v>58.8</v>
      </c>
      <c r="L33" s="11">
        <v>64.8</v>
      </c>
      <c r="M33" s="6">
        <v>47.4</v>
      </c>
      <c r="N33" s="6">
        <v>52.3</v>
      </c>
      <c r="O33" s="11">
        <v>38.1</v>
      </c>
      <c r="P33" s="11">
        <v>42.1</v>
      </c>
      <c r="Q33" s="6">
        <v>30.6</v>
      </c>
      <c r="R33" s="6">
        <v>33.799999999999997</v>
      </c>
      <c r="S33" s="11">
        <v>24.5</v>
      </c>
      <c r="T33" s="11">
        <v>27.1</v>
      </c>
      <c r="U33" s="6">
        <v>19.600000000000001</v>
      </c>
      <c r="V33" s="6">
        <v>21.7</v>
      </c>
    </row>
    <row r="34" spans="1:22" x14ac:dyDescent="0.35">
      <c r="A34" s="6" t="s">
        <v>13</v>
      </c>
      <c r="B34" s="21">
        <v>900</v>
      </c>
      <c r="C34" s="13"/>
      <c r="D34" s="11"/>
      <c r="E34" s="6"/>
      <c r="F34" s="6"/>
      <c r="G34" s="11"/>
      <c r="H34" s="11"/>
      <c r="I34" s="6">
        <v>81.7</v>
      </c>
      <c r="J34" s="6">
        <v>90</v>
      </c>
      <c r="K34" s="11">
        <v>66.099999999999994</v>
      </c>
      <c r="L34" s="11">
        <v>72.900000000000006</v>
      </c>
      <c r="M34" s="6">
        <v>53.3</v>
      </c>
      <c r="N34" s="6">
        <v>58.8</v>
      </c>
      <c r="O34" s="11">
        <v>42.9</v>
      </c>
      <c r="P34" s="11">
        <v>47.3</v>
      </c>
      <c r="Q34" s="6">
        <v>34.4</v>
      </c>
      <c r="R34" s="6">
        <v>38.299999999999997</v>
      </c>
      <c r="S34" s="11">
        <v>27.6</v>
      </c>
      <c r="T34" s="11">
        <v>30.5</v>
      </c>
      <c r="U34" s="6">
        <v>22</v>
      </c>
      <c r="V34" s="6">
        <v>24.3</v>
      </c>
    </row>
    <row r="35" spans="1:22" x14ac:dyDescent="0.35">
      <c r="A35" s="6" t="s">
        <v>12</v>
      </c>
      <c r="B35" s="21">
        <v>1000</v>
      </c>
      <c r="C35" s="13"/>
      <c r="D35" s="11"/>
      <c r="E35" s="6"/>
      <c r="F35" s="6"/>
      <c r="G35" s="11"/>
      <c r="H35" s="11"/>
      <c r="I35" s="6">
        <v>90.8</v>
      </c>
      <c r="J35" s="6">
        <v>100</v>
      </c>
      <c r="K35" s="11">
        <v>73.5</v>
      </c>
      <c r="L35" s="11">
        <v>80.900000000000006</v>
      </c>
      <c r="M35" s="6">
        <v>59.3</v>
      </c>
      <c r="N35" s="6">
        <v>65.400000000000006</v>
      </c>
      <c r="O35" s="11">
        <v>47.7</v>
      </c>
      <c r="P35" s="11">
        <v>52.6</v>
      </c>
      <c r="Q35" s="6">
        <v>38.200000000000003</v>
      </c>
      <c r="R35" s="6">
        <v>42.2</v>
      </c>
      <c r="S35" s="11">
        <v>30.6</v>
      </c>
      <c r="T35" s="11">
        <v>33.5</v>
      </c>
      <c r="U35" s="6">
        <v>24.5</v>
      </c>
      <c r="V35" s="6">
        <v>27.1</v>
      </c>
    </row>
    <row r="36" spans="1:22" x14ac:dyDescent="0.35">
      <c r="A36" s="6" t="s">
        <v>13</v>
      </c>
      <c r="B36" s="21">
        <v>1200</v>
      </c>
      <c r="C36" s="13"/>
      <c r="D36" s="11"/>
      <c r="E36" s="6"/>
      <c r="F36" s="6"/>
      <c r="G36" s="11"/>
      <c r="H36" s="11"/>
      <c r="I36" s="6"/>
      <c r="J36" s="6"/>
      <c r="K36" s="11">
        <v>88.2</v>
      </c>
      <c r="L36" s="11">
        <v>97.2</v>
      </c>
      <c r="M36" s="6">
        <v>71.099999999999994</v>
      </c>
      <c r="N36" s="6">
        <v>78.400000000000006</v>
      </c>
      <c r="O36" s="11">
        <v>57.2</v>
      </c>
      <c r="P36" s="11">
        <v>63.1</v>
      </c>
      <c r="Q36" s="6">
        <v>45.9</v>
      </c>
      <c r="R36" s="6">
        <v>50.6</v>
      </c>
      <c r="S36" s="11">
        <v>36.700000000000003</v>
      </c>
      <c r="T36" s="11">
        <v>40.5</v>
      </c>
      <c r="U36" s="6">
        <v>29.4</v>
      </c>
      <c r="V36" s="6">
        <v>32.5</v>
      </c>
    </row>
    <row r="37" spans="1:22" x14ac:dyDescent="0.35">
      <c r="A37" s="6" t="s">
        <v>13</v>
      </c>
      <c r="B37" s="21">
        <v>1400</v>
      </c>
      <c r="C37" s="13"/>
      <c r="D37" s="11"/>
      <c r="E37" s="6"/>
      <c r="F37" s="6"/>
      <c r="G37" s="11"/>
      <c r="H37" s="11"/>
      <c r="I37" s="6"/>
      <c r="J37" s="6"/>
      <c r="K37" s="11">
        <v>102.8</v>
      </c>
      <c r="L37" s="11">
        <v>113.3</v>
      </c>
      <c r="M37" s="6">
        <v>83</v>
      </c>
      <c r="N37" s="6">
        <v>91.5</v>
      </c>
      <c r="O37" s="11">
        <v>66.7</v>
      </c>
      <c r="P37" s="11">
        <v>73.5</v>
      </c>
      <c r="Q37" s="6">
        <v>53.5</v>
      </c>
      <c r="R37" s="6">
        <v>59</v>
      </c>
      <c r="S37" s="11">
        <v>42.9</v>
      </c>
      <c r="T37" s="11">
        <v>47.3</v>
      </c>
      <c r="U37" s="6">
        <v>34.299999999999997</v>
      </c>
      <c r="V37" s="6">
        <v>37.9</v>
      </c>
    </row>
    <row r="38" spans="1:22" x14ac:dyDescent="0.35">
      <c r="A38" s="6" t="s">
        <v>13</v>
      </c>
      <c r="B38" s="21">
        <v>1600</v>
      </c>
      <c r="C38" s="13"/>
      <c r="D38" s="11"/>
      <c r="E38" s="6"/>
      <c r="F38" s="6"/>
      <c r="G38" s="11"/>
      <c r="H38" s="11"/>
      <c r="I38" s="6"/>
      <c r="J38" s="6"/>
      <c r="K38" s="11">
        <v>117.5</v>
      </c>
      <c r="L38" s="11">
        <v>129.4</v>
      </c>
      <c r="M38" s="6">
        <v>94.8</v>
      </c>
      <c r="N38" s="6">
        <v>104.4</v>
      </c>
      <c r="O38" s="11">
        <v>76.2</v>
      </c>
      <c r="P38" s="11">
        <v>84</v>
      </c>
      <c r="Q38" s="6">
        <v>61.2</v>
      </c>
      <c r="R38" s="6">
        <v>67.5</v>
      </c>
      <c r="S38" s="11">
        <v>49</v>
      </c>
      <c r="T38" s="11">
        <v>54</v>
      </c>
      <c r="U38" s="6">
        <v>39.200000000000003</v>
      </c>
      <c r="V38" s="6">
        <v>43.3</v>
      </c>
    </row>
    <row r="39" spans="1:22" x14ac:dyDescent="0.35">
      <c r="A39" s="6" t="s">
        <v>13</v>
      </c>
      <c r="B39" s="21">
        <v>1800</v>
      </c>
      <c r="C39" s="13"/>
      <c r="D39" s="11"/>
      <c r="E39" s="6"/>
      <c r="F39" s="6"/>
      <c r="G39" s="11"/>
      <c r="H39" s="11"/>
      <c r="I39" s="6"/>
      <c r="J39" s="6"/>
      <c r="K39" s="11"/>
      <c r="L39" s="11"/>
      <c r="M39" s="6">
        <v>106.6</v>
      </c>
      <c r="N39" s="6">
        <v>117.4</v>
      </c>
      <c r="O39" s="11">
        <v>85.8</v>
      </c>
      <c r="P39" s="11">
        <v>94.5</v>
      </c>
      <c r="Q39" s="6">
        <v>68.8</v>
      </c>
      <c r="R39" s="6">
        <v>75.8</v>
      </c>
      <c r="S39" s="11">
        <v>55.1</v>
      </c>
      <c r="T39" s="11">
        <v>60.8</v>
      </c>
      <c r="U39" s="6">
        <v>44</v>
      </c>
      <c r="V39" s="6">
        <v>48.6</v>
      </c>
    </row>
    <row r="40" spans="1:22" x14ac:dyDescent="0.35">
      <c r="A40" s="6" t="s">
        <v>13</v>
      </c>
      <c r="B40" s="21">
        <v>2000</v>
      </c>
      <c r="C40" s="13"/>
      <c r="D40" s="11"/>
      <c r="E40" s="6"/>
      <c r="F40" s="6"/>
      <c r="G40" s="11"/>
      <c r="H40" s="11"/>
      <c r="I40" s="6"/>
      <c r="J40" s="6"/>
      <c r="K40" s="11"/>
      <c r="L40" s="11"/>
      <c r="M40" s="6">
        <v>118.5</v>
      </c>
      <c r="N40" s="6">
        <v>130.4</v>
      </c>
      <c r="O40" s="11">
        <v>95.3</v>
      </c>
      <c r="P40" s="11">
        <v>105</v>
      </c>
      <c r="Q40" s="6">
        <v>76.400000000000006</v>
      </c>
      <c r="R40" s="6">
        <v>84.2</v>
      </c>
      <c r="S40" s="11">
        <v>61.2</v>
      </c>
      <c r="T40" s="11">
        <v>67.5</v>
      </c>
      <c r="U40" s="6">
        <v>48.9</v>
      </c>
      <c r="V40" s="6">
        <v>53.9</v>
      </c>
    </row>
    <row r="41" spans="1:22" x14ac:dyDescent="0.35">
      <c r="A41" s="6" t="s">
        <v>13</v>
      </c>
      <c r="B41" s="21">
        <v>2250</v>
      </c>
      <c r="C41" s="13"/>
      <c r="D41" s="11"/>
      <c r="E41" s="6"/>
      <c r="F41" s="6"/>
      <c r="G41" s="11"/>
      <c r="H41" s="11"/>
      <c r="I41" s="6"/>
      <c r="J41" s="6"/>
      <c r="K41" s="11"/>
      <c r="L41" s="11"/>
      <c r="M41" s="6"/>
      <c r="N41" s="6"/>
      <c r="O41" s="11">
        <v>107.2</v>
      </c>
      <c r="P41" s="11">
        <v>118.1</v>
      </c>
      <c r="Q41" s="6">
        <v>86</v>
      </c>
      <c r="R41" s="6">
        <v>94.8</v>
      </c>
      <c r="S41" s="11">
        <v>68.900000000000006</v>
      </c>
      <c r="T41" s="11">
        <v>75.900000000000006</v>
      </c>
      <c r="U41" s="6">
        <v>55</v>
      </c>
      <c r="V41" s="6">
        <v>60.7</v>
      </c>
    </row>
    <row r="42" spans="1:22" x14ac:dyDescent="0.35">
      <c r="A42" s="6" t="s">
        <v>13</v>
      </c>
      <c r="B42" s="21">
        <v>2500</v>
      </c>
      <c r="C42" s="13"/>
      <c r="D42" s="11"/>
      <c r="E42" s="6"/>
      <c r="F42" s="6"/>
      <c r="G42" s="11"/>
      <c r="H42" s="11"/>
      <c r="I42" s="6"/>
      <c r="J42" s="6"/>
      <c r="K42" s="11"/>
      <c r="L42" s="11"/>
      <c r="M42" s="6"/>
      <c r="N42" s="6"/>
      <c r="O42" s="11">
        <v>119.1</v>
      </c>
      <c r="P42" s="11">
        <v>131.19999999999999</v>
      </c>
      <c r="Q42" s="6">
        <v>95.5</v>
      </c>
      <c r="R42" s="6">
        <v>105.2</v>
      </c>
      <c r="S42" s="11">
        <v>76.5</v>
      </c>
      <c r="T42" s="11">
        <v>84.3</v>
      </c>
      <c r="U42" s="6">
        <v>61.2</v>
      </c>
      <c r="V42" s="6">
        <v>67.5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23</vt:i4>
      </vt:variant>
    </vt:vector>
  </HeadingPairs>
  <TitlesOfParts>
    <vt:vector size="33" baseType="lpstr">
      <vt:lpstr>PressurisationAuto</vt:lpstr>
      <vt:lpstr>WallThickness</vt:lpstr>
      <vt:lpstr>XX Minute,Modulus_Temp</vt:lpstr>
      <vt:lpstr>DCLPE100 ModPerMinute</vt:lpstr>
      <vt:lpstr>DCLPE80 ModPerMinute</vt:lpstr>
      <vt:lpstr>DCL Material Equations</vt:lpstr>
      <vt:lpstr>SeveralNotes</vt:lpstr>
      <vt:lpstr>Compare_Diff_StartP_same_DP</vt:lpstr>
      <vt:lpstr>WallThickness12201-2</vt:lpstr>
      <vt:lpstr>PE 80-100 MInMaxSDRWall</vt:lpstr>
      <vt:lpstr>'PE 80-100 MInMaxSDRWall'!diam</vt:lpstr>
      <vt:lpstr>Compare_Diff_StartP_same_DP!endP</vt:lpstr>
      <vt:lpstr>'PE 80-100 MInMaxSDRWall'!endP</vt:lpstr>
      <vt:lpstr>PressurisationAuto!endP</vt:lpstr>
      <vt:lpstr>Compare_Diff_StartP_same_DP!length</vt:lpstr>
      <vt:lpstr>'PE 80-100 MInMaxSDRWall'!length</vt:lpstr>
      <vt:lpstr>PressurisationAuto!length</vt:lpstr>
      <vt:lpstr>Compare_Diff_StartP_same_DP!mod</vt:lpstr>
      <vt:lpstr>'PE 80-100 MInMaxSDRWall'!mod</vt:lpstr>
      <vt:lpstr>PressurisationAuto!mod</vt:lpstr>
      <vt:lpstr>Compare_Diff_StartP_same_DP!SDR</vt:lpstr>
      <vt:lpstr>'PE 80-100 MInMaxSDRWall'!SDR</vt:lpstr>
      <vt:lpstr>PressurisationAuto!SDR</vt:lpstr>
      <vt:lpstr>Compare_Diff_StartP_same_DP!startP</vt:lpstr>
      <vt:lpstr>'PE 80-100 MInMaxSDRWall'!startP</vt:lpstr>
      <vt:lpstr>PressurisationAuto!startP</vt:lpstr>
      <vt:lpstr>Wall_SDR</vt:lpstr>
      <vt:lpstr>WallT_max</vt:lpstr>
      <vt:lpstr>PressurisationAuto!WallT_min</vt:lpstr>
      <vt:lpstr>WallT_min</vt:lpstr>
      <vt:lpstr>PressurisationAuto!WallT_table</vt:lpstr>
      <vt:lpstr>WallT_table</vt:lpstr>
      <vt:lpstr>WallTSDR</vt:lpstr>
    </vt:vector>
  </TitlesOfParts>
  <Company>Bodycote Materials Testing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haydenp</dc:creator>
  <cp:lastModifiedBy>Geoff Miller</cp:lastModifiedBy>
  <dcterms:created xsi:type="dcterms:W3CDTF">2006-03-23T14:15:38Z</dcterms:created>
  <dcterms:modified xsi:type="dcterms:W3CDTF">2026-05-03T15:33:54Z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  <property fmtid="{D5CDD505-2E9C-101B-9397-08002B2CF9AE}" pid="36" name="MSIP_Label_23222fa2-703f-434b-9b29-15f41767c45e_Enabled">
    <vt:lpwstr>true</vt:lpwstr>
  </property>
  <property fmtid="{D5CDD505-2E9C-101B-9397-08002B2CF9AE}" pid="37" name="MSIP_Label_23222fa2-703f-434b-9b29-15f41767c45e_SetDate">
    <vt:lpwstr>2026-04-21T16:51:57Z</vt:lpwstr>
  </property>
  <property fmtid="{D5CDD505-2E9C-101B-9397-08002B2CF9AE}" pid="38" name="MSIP_Label_23222fa2-703f-434b-9b29-15f41767c45e_Method">
    <vt:lpwstr>Privileged</vt:lpwstr>
  </property>
  <property fmtid="{D5CDD505-2E9C-101B-9397-08002B2CF9AE}" pid="39" name="MSIP_Label_23222fa2-703f-434b-9b29-15f41767c45e_Name">
    <vt:lpwstr>Public</vt:lpwstr>
  </property>
  <property fmtid="{D5CDD505-2E9C-101B-9397-08002B2CF9AE}" pid="40" name="MSIP_Label_23222fa2-703f-434b-9b29-15f41767c45e_SiteId">
    <vt:lpwstr>fd84ea5f-acd2-4dfc-9b72-abb5d1685310</vt:lpwstr>
  </property>
  <property fmtid="{D5CDD505-2E9C-101B-9397-08002B2CF9AE}" pid="41" name="MSIP_Label_23222fa2-703f-434b-9b29-15f41767c45e_ActionId">
    <vt:lpwstr>1085ea5e-6c32-4cae-8e6f-7786f420045b</vt:lpwstr>
  </property>
  <property fmtid="{D5CDD505-2E9C-101B-9397-08002B2CF9AE}" pid="42" name="MSIP_Label_23222fa2-703f-434b-9b29-15f41767c45e_ContentBits">
    <vt:lpwstr>0</vt:lpwstr>
  </property>
  <property fmtid="{D5CDD505-2E9C-101B-9397-08002B2CF9AE}" pid="43" name="MSIP_Label_23222fa2-703f-434b-9b29-15f41767c45e_Tag">
    <vt:lpwstr>10, 0, 1, 1</vt:lpwstr>
  </property>
</Properties>
</file>